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tables/table6.xml" ContentType="application/vnd.openxmlformats-officedocument.spreadsheetml.table+xml"/>
  <Override PartName="/xl/tables/table7.xml" ContentType="application/vnd.openxmlformats-officedocument.spreadsheetml.table+xml"/>
  <Override PartName="/xl/comments2.xml" ContentType="application/vnd.openxmlformats-officedocument.spreadsheetml.comments+xml"/>
  <Override PartName="/xl/tables/table18.xml" ContentType="application/vnd.openxmlformats-officedocument.spreadsheetml.table+xml"/>
  <Override PartName="/xl/tables/table19.xml" ContentType="application/vnd.openxmlformats-officedocument.spreadsheetml.table+xml"/>
  <Override PartName="/xl/comments8.xml" ContentType="application/vnd.openxmlformats-officedocument.spreadsheetml.comments+xml"/>
  <Override PartName="/xl/comments3.xml" ContentType="application/vnd.openxmlformats-officedocument.spreadsheetml.comments+xml"/>
  <Override PartName="/xl/tables/table10.xml" ContentType="application/vnd.openxmlformats-officedocument.spreadsheetml.table+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ables/table9.xml" ContentType="application/vnd.openxmlformats-officedocument.spreadsheetml.table+xml"/>
  <Override PartName="/xl/tables/table8.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omments5.xml" ContentType="application/vnd.openxmlformats-officedocument.spreadsheetml.comments+xml"/>
  <Override PartName="/xl/tables/table11.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omments6.xml" ContentType="application/vnd.openxmlformats-officedocument.spreadsheetml.comments+xml"/>
  <Override PartName="/xl/comments4.xml" ContentType="application/vnd.openxmlformats-officedocument.spreadsheetml.comments+xml"/>
  <Override PartName="/xl/tables/table16.xml" ContentType="application/vnd.openxmlformats-officedocument.spreadsheetml.table+xml"/>
  <Override PartName="/xl/tables/table17.xml" ContentType="application/vnd.openxmlformats-officedocument.spreadsheetml.table+xml"/>
  <Override PartName="/xl/comments7.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riintl-my.sharepoint.us/personal/catherine_hall_sri_com/Documents/2023 backup/WORK/PROJECTS/DaSy ECTA/A_Self-Assess_Merge (Kathy H)/SELF XLSX/"/>
    </mc:Choice>
  </mc:AlternateContent>
  <xr:revisionPtr revIDLastSave="5" documentId="8_{8582E481-FAD0-4C08-B6AE-2CAD9246E652}" xr6:coauthVersionLast="47" xr6:coauthVersionMax="47" xr10:uidLastSave="{E782B4C5-2B68-4F73-9276-07AB6201565B}"/>
  <bookViews>
    <workbookView xWindow="-23148" yWindow="-108" windowWidth="23256" windowHeight="12456" tabRatio="804" xr2:uid="{EEAAAFA0-413B-41C6-B89D-134006A2726B}"/>
  </bookViews>
  <sheets>
    <sheet name="Information" sheetId="12" r:id="rId1"/>
    <sheet name="Instructions" sheetId="13" r:id="rId2"/>
    <sheet name="Codes" sheetId="14" r:id="rId3"/>
    <sheet name="SA1" sheetId="1" r:id="rId4"/>
    <sheet name="SA2" sheetId="4" r:id="rId5"/>
    <sheet name="SA3" sheetId="5" r:id="rId6"/>
    <sheet name="SA4" sheetId="6" r:id="rId7"/>
    <sheet name="SA5" sheetId="7" r:id="rId8"/>
    <sheet name="SA6" sheetId="8" r:id="rId9"/>
    <sheet name="SA7" sheetId="9" r:id="rId10"/>
    <sheet name="SA8" sheetId="10" r:id="rId11"/>
    <sheet name="Data Summary" sheetId="11" r:id="rId12"/>
    <sheet name="Overview of data entered" sheetId="18" r:id="rId13"/>
    <sheet name="ForTeamWorkbook" sheetId="3" r:id="rId14"/>
    <sheet name="programmer" sheetId="17" state="hidden" r:id="rId15"/>
    <sheet name="calc" sheetId="2" state="hidden" r:id="rId16"/>
  </sheets>
  <definedNames>
    <definedName name="NumRatings">Codes!#REF!</definedName>
    <definedName name="_xlnm.Print_Area" localSheetId="2">Codes!$A$2:$C$21</definedName>
    <definedName name="_xlnm.Print_Area" localSheetId="11">'Data Summary'!$A$6:$R$43</definedName>
    <definedName name="_xlnm.Print_Area" localSheetId="0">Information!$A$1:$A$8</definedName>
    <definedName name="_xlnm.Print_Area" localSheetId="1">Instructions!$A$2:$A$67</definedName>
    <definedName name="_xlnm.Print_Area" localSheetId="12">'Overview of data entered'!$A$6:$Z$43</definedName>
    <definedName name="_xlnm.Print_Area" localSheetId="3">'SA1'!$J$4:$O$42</definedName>
    <definedName name="_xlnm.Print_Area" localSheetId="4">'SA2'!$J$4:$O$42</definedName>
    <definedName name="_xlnm.Print_Area" localSheetId="5">'SA3'!$J$4:$O$42</definedName>
    <definedName name="_xlnm.Print_Area" localSheetId="6">'SA4'!$J$4:$O$42</definedName>
    <definedName name="_xlnm.Print_Area" localSheetId="7">'SA5'!$J$4:$O$42</definedName>
    <definedName name="_xlnm.Print_Area" localSheetId="8">'SA6'!$J$4:$O$42</definedName>
    <definedName name="_xlnm.Print_Area" localSheetId="9">'SA7'!$J$4:$O$42</definedName>
    <definedName name="_xlnm.Print_Area" localSheetId="10">'SA8'!$J$4:$O$42</definedName>
    <definedName name="_xlnm.Print_Titles" localSheetId="12">'Overview of data entered'!$A:$B,'Overview of data entered'!$6:$7</definedName>
    <definedName name="_xlnm.Print_Titles" localSheetId="3">'SA1'!$6:$6</definedName>
    <definedName name="_xlnm.Print_Titles" localSheetId="4">'SA2'!$6:$6</definedName>
    <definedName name="_xlnm.Print_Titles" localSheetId="5">'SA3'!$6:$6</definedName>
    <definedName name="_xlnm.Print_Titles" localSheetId="6">'SA4'!$6:$6</definedName>
    <definedName name="_xlnm.Print_Titles" localSheetId="7">'SA5'!$6:$6</definedName>
    <definedName name="_xlnm.Print_Titles" localSheetId="8">'SA6'!$6:$6</definedName>
    <definedName name="_xlnm.Print_Titles" localSheetId="9">'SA7'!$6:$6</definedName>
    <definedName name="_xlnm.Print_Titles" localSheetId="10">'SA8'!$6:$6</definedName>
    <definedName name="Stats_DC">#REF!</definedName>
    <definedName name="Stats_FD">#REF!</definedName>
    <definedName name="Stats_I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E20" i="5" l="1"/>
  <c r="E20" i="6" s="1"/>
  <c r="E20" i="7" s="1"/>
  <c r="E20" i="8" s="1"/>
  <c r="E42" i="4"/>
  <c r="E42" i="5" s="1"/>
  <c r="E42" i="6" s="1"/>
  <c r="E42" i="7" s="1"/>
  <c r="E42" i="8" s="1"/>
  <c r="E41" i="4"/>
  <c r="E41" i="5" s="1"/>
  <c r="E41" i="6" s="1"/>
  <c r="E41" i="7" s="1"/>
  <c r="E41" i="8" s="1"/>
  <c r="E40" i="4"/>
  <c r="E40" i="5" s="1"/>
  <c r="E40" i="6" s="1"/>
  <c r="E40" i="7" s="1"/>
  <c r="E40" i="8" s="1"/>
  <c r="E40" i="9" s="1"/>
  <c r="E40" i="10" s="1"/>
  <c r="E39" i="4"/>
  <c r="E39" i="5" s="1"/>
  <c r="E39" i="6" s="1"/>
  <c r="E39" i="7" s="1"/>
  <c r="E39" i="8" s="1"/>
  <c r="E39" i="9" s="1"/>
  <c r="E39" i="10" s="1"/>
  <c r="E38" i="4"/>
  <c r="E38" i="5" s="1"/>
  <c r="E38" i="6" s="1"/>
  <c r="E38" i="7" s="1"/>
  <c r="E38" i="8" s="1"/>
  <c r="E37" i="4"/>
  <c r="E37" i="5" s="1"/>
  <c r="E37" i="6" s="1"/>
  <c r="E37" i="7" s="1"/>
  <c r="E37" i="8" s="1"/>
  <c r="E37" i="9" s="1"/>
  <c r="E37" i="10" s="1"/>
  <c r="E36" i="4"/>
  <c r="E36" i="5" s="1"/>
  <c r="E36" i="6" s="1"/>
  <c r="E36" i="7" s="1"/>
  <c r="E36" i="8" s="1"/>
  <c r="E35" i="4"/>
  <c r="E35" i="5" s="1"/>
  <c r="E35" i="6" s="1"/>
  <c r="E35" i="7" s="1"/>
  <c r="E35" i="8" s="1"/>
  <c r="E34" i="4"/>
  <c r="E34" i="5" s="1"/>
  <c r="E34" i="6" s="1"/>
  <c r="E34" i="7" s="1"/>
  <c r="E34" i="8" s="1"/>
  <c r="E33" i="4"/>
  <c r="E33" i="5" s="1"/>
  <c r="E33" i="6" s="1"/>
  <c r="E33" i="7" s="1"/>
  <c r="E33" i="8" s="1"/>
  <c r="E33" i="9" s="1"/>
  <c r="E33" i="10" s="1"/>
  <c r="E32" i="4"/>
  <c r="E32" i="5" s="1"/>
  <c r="E32" i="6" s="1"/>
  <c r="E32" i="7" s="1"/>
  <c r="E32" i="8" s="1"/>
  <c r="E31" i="4"/>
  <c r="E31" i="5" s="1"/>
  <c r="E31" i="6" s="1"/>
  <c r="E31" i="7" s="1"/>
  <c r="E31" i="8" s="1"/>
  <c r="E31" i="9" s="1"/>
  <c r="E31" i="10" s="1"/>
  <c r="E30" i="4"/>
  <c r="E30" i="5" s="1"/>
  <c r="E30" i="6" s="1"/>
  <c r="E30" i="7" s="1"/>
  <c r="E30" i="8" s="1"/>
  <c r="E30" i="9" s="1"/>
  <c r="E30" i="10" s="1"/>
  <c r="E29" i="4"/>
  <c r="E29" i="5" s="1"/>
  <c r="E29" i="6" s="1"/>
  <c r="E29" i="7" s="1"/>
  <c r="E29" i="8" s="1"/>
  <c r="E28" i="4"/>
  <c r="E28" i="5" s="1"/>
  <c r="E28" i="6" s="1"/>
  <c r="E28" i="7" s="1"/>
  <c r="E28" i="8" s="1"/>
  <c r="E27" i="4"/>
  <c r="E27" i="5" s="1"/>
  <c r="E27" i="6" s="1"/>
  <c r="E27" i="7" s="1"/>
  <c r="E27" i="8" s="1"/>
  <c r="E27" i="9" s="1"/>
  <c r="E27" i="10" s="1"/>
  <c r="E26" i="4"/>
  <c r="E26" i="5" s="1"/>
  <c r="E26" i="6" s="1"/>
  <c r="E26" i="7" s="1"/>
  <c r="E26" i="8" s="1"/>
  <c r="E25" i="4"/>
  <c r="E25" i="5" s="1"/>
  <c r="E25" i="6" s="1"/>
  <c r="E25" i="7" s="1"/>
  <c r="E25" i="8" s="1"/>
  <c r="E24" i="4"/>
  <c r="E24" i="5" s="1"/>
  <c r="E24" i="6" s="1"/>
  <c r="E24" i="7" s="1"/>
  <c r="E24" i="8" s="1"/>
  <c r="E24" i="9" s="1"/>
  <c r="E24" i="10" s="1"/>
  <c r="E23" i="4"/>
  <c r="E23" i="5" s="1"/>
  <c r="E23" i="6" s="1"/>
  <c r="E23" i="7" s="1"/>
  <c r="E23" i="8" s="1"/>
  <c r="E23" i="9" s="1"/>
  <c r="E23" i="10" s="1"/>
  <c r="E22" i="4"/>
  <c r="E22" i="5" s="1"/>
  <c r="E22" i="6" s="1"/>
  <c r="E22" i="7" s="1"/>
  <c r="E22" i="8" s="1"/>
  <c r="E22" i="9" s="1"/>
  <c r="E22" i="10" s="1"/>
  <c r="E21" i="4"/>
  <c r="E21" i="5" s="1"/>
  <c r="E21" i="6" s="1"/>
  <c r="E21" i="7" s="1"/>
  <c r="E21" i="8" s="1"/>
  <c r="E21" i="9" s="1"/>
  <c r="E21" i="10" s="1"/>
  <c r="E20" i="4"/>
  <c r="E19" i="4"/>
  <c r="E19" i="5" s="1"/>
  <c r="E19" i="6" s="1"/>
  <c r="E19" i="7" s="1"/>
  <c r="E19" i="8" s="1"/>
  <c r="E18" i="4"/>
  <c r="E18" i="5" s="1"/>
  <c r="E18" i="6" s="1"/>
  <c r="E18" i="7" s="1"/>
  <c r="E18" i="8" s="1"/>
  <c r="E17" i="4"/>
  <c r="E17" i="5" s="1"/>
  <c r="E17" i="6" s="1"/>
  <c r="E17" i="7" s="1"/>
  <c r="E17" i="8" s="1"/>
  <c r="E16" i="4"/>
  <c r="E16" i="5" s="1"/>
  <c r="E16" i="6" s="1"/>
  <c r="E16" i="7" s="1"/>
  <c r="E16" i="8" s="1"/>
  <c r="E16" i="9" s="1"/>
  <c r="E16" i="10" s="1"/>
  <c r="E15" i="4"/>
  <c r="E15" i="5" s="1"/>
  <c r="E15" i="6" s="1"/>
  <c r="E15" i="7" s="1"/>
  <c r="E15" i="8" s="1"/>
  <c r="E14" i="4"/>
  <c r="E14" i="5" s="1"/>
  <c r="E14" i="6" s="1"/>
  <c r="E14" i="7" s="1"/>
  <c r="E14" i="8" s="1"/>
  <c r="E13" i="4"/>
  <c r="E13" i="5" s="1"/>
  <c r="E13" i="6" s="1"/>
  <c r="E13" i="7" s="1"/>
  <c r="E13" i="8" s="1"/>
  <c r="E13" i="9" s="1"/>
  <c r="E13" i="10" s="1"/>
  <c r="E12" i="4"/>
  <c r="E12" i="5" s="1"/>
  <c r="E12" i="6" s="1"/>
  <c r="E12" i="7" s="1"/>
  <c r="E12" i="8" s="1"/>
  <c r="E11" i="4"/>
  <c r="E50" i="5" s="1" a="1"/>
  <c r="E10" i="4"/>
  <c r="E10" i="5" s="1"/>
  <c r="E10" i="6" s="1"/>
  <c r="E10" i="7" s="1"/>
  <c r="E10" i="8" s="1"/>
  <c r="E9" i="4"/>
  <c r="E9" i="5" s="1"/>
  <c r="E9" i="6" s="1"/>
  <c r="E9" i="7" s="1"/>
  <c r="E9" i="8" s="1"/>
  <c r="E8" i="4"/>
  <c r="E8" i="5" s="1"/>
  <c r="E8" i="6" s="1"/>
  <c r="E8" i="7" s="1"/>
  <c r="E8" i="8" s="1"/>
  <c r="E8" i="9" s="1"/>
  <c r="E8" i="10" s="1"/>
  <c r="E7" i="4"/>
  <c r="E7" i="5" s="1"/>
  <c r="E7" i="6" s="1"/>
  <c r="E7" i="7" s="1"/>
  <c r="E7" i="8" s="1"/>
  <c r="E7" i="9" s="1"/>
  <c r="C3" i="3"/>
  <c r="E55" i="5" a="1"/>
  <c r="E60" i="4" a="1"/>
  <c r="E55" i="4" a="1"/>
  <c r="E50" i="4" a="1"/>
  <c r="E60" i="1" a="1"/>
  <c r="E55" i="1" a="1"/>
  <c r="E50" i="1" a="1"/>
  <c r="E11" i="5" l="1"/>
  <c r="E11" i="6" s="1"/>
  <c r="E11" i="7" s="1"/>
  <c r="E11" i="8" s="1"/>
  <c r="E11" i="9" s="1"/>
  <c r="E11" i="10" s="1"/>
  <c r="E19" i="9"/>
  <c r="E19" i="10" s="1"/>
  <c r="E35" i="9"/>
  <c r="E35" i="10" s="1"/>
  <c r="E41" i="9"/>
  <c r="E41" i="10" s="1"/>
  <c r="E36" i="9"/>
  <c r="E36" i="10" s="1"/>
  <c r="E20" i="9"/>
  <c r="E20" i="10" s="1"/>
  <c r="E12" i="9"/>
  <c r="E12" i="10" s="1"/>
  <c r="E15" i="9"/>
  <c r="E15" i="10" s="1"/>
  <c r="E10" i="9"/>
  <c r="E10" i="10" s="1"/>
  <c r="E18" i="9"/>
  <c r="E18" i="10" s="1"/>
  <c r="E26" i="9"/>
  <c r="E26" i="10" s="1"/>
  <c r="E42" i="9"/>
  <c r="E42" i="10" s="1"/>
  <c r="E28" i="9"/>
  <c r="E28" i="10" s="1"/>
  <c r="E25" i="9"/>
  <c r="E25" i="10" s="1"/>
  <c r="E17" i="9"/>
  <c r="E17" i="10" s="1"/>
  <c r="E55" i="10" s="1" a="1"/>
  <c r="E34" i="9"/>
  <c r="E34" i="10" s="1"/>
  <c r="E60" i="5" a="1"/>
  <c r="E50" i="6" a="1"/>
  <c r="E55" i="6" a="1"/>
  <c r="E60" i="7" a="1"/>
  <c r="E32" i="9"/>
  <c r="E38" i="9"/>
  <c r="E38" i="10" s="1"/>
  <c r="E60" i="6" a="1"/>
  <c r="E14" i="9"/>
  <c r="E14" i="10" s="1"/>
  <c r="E50" i="7" a="1"/>
  <c r="E9" i="9"/>
  <c r="E9" i="10" s="1"/>
  <c r="E50" i="8" a="1"/>
  <c r="E55" i="7" a="1"/>
  <c r="E29" i="9"/>
  <c r="E29" i="10" s="1"/>
  <c r="E55" i="8" a="1"/>
  <c r="E60" i="8" a="1"/>
  <c r="E7" i="10"/>
  <c r="E50" i="10" s="1" a="1"/>
  <c r="E50" i="9" a="1"/>
  <c r="E55" i="9" a="1"/>
  <c r="A41" i="3" a="1"/>
  <c r="B3" i="3"/>
  <c r="I67" i="2"/>
  <c r="H67" i="2"/>
  <c r="G67" i="2"/>
  <c r="F67" i="2"/>
  <c r="E67" i="2"/>
  <c r="D67" i="2"/>
  <c r="C67" i="2"/>
  <c r="B67" i="2"/>
  <c r="I62" i="2"/>
  <c r="H62" i="2"/>
  <c r="G62" i="2"/>
  <c r="F62" i="2"/>
  <c r="E62" i="2"/>
  <c r="D62" i="2"/>
  <c r="C62" i="2"/>
  <c r="B62" i="2"/>
  <c r="I57" i="2"/>
  <c r="H57" i="2"/>
  <c r="G57" i="2"/>
  <c r="F57" i="2"/>
  <c r="E57" i="2"/>
  <c r="D57" i="2"/>
  <c r="C57" i="2"/>
  <c r="B57" i="2"/>
  <c r="B51" i="2"/>
  <c r="A6" i="11" s="1"/>
  <c r="AI13" i="2" a="1"/>
  <c r="AF13" i="2" a="1"/>
  <c r="AC13" i="2" a="1"/>
  <c r="Z13" i="2" a="1"/>
  <c r="W13" i="2" a="1"/>
  <c r="T13" i="2" a="1"/>
  <c r="Q13" i="2" a="1"/>
  <c r="O13" i="2" a="1"/>
  <c r="N13" i="2" a="1"/>
  <c r="I11" i="2"/>
  <c r="H11" i="2"/>
  <c r="G11" i="2"/>
  <c r="F11" i="2"/>
  <c r="E11" i="2"/>
  <c r="D11" i="2"/>
  <c r="C11" i="2"/>
  <c r="B11" i="2"/>
  <c r="I9" i="2"/>
  <c r="H9" i="2"/>
  <c r="G9" i="2"/>
  <c r="F9" i="2"/>
  <c r="E9" i="2"/>
  <c r="D9" i="2"/>
  <c r="C9" i="2"/>
  <c r="B9" i="2"/>
  <c r="I7" i="2"/>
  <c r="H7" i="2"/>
  <c r="G7" i="2"/>
  <c r="F7" i="2"/>
  <c r="E7" i="2"/>
  <c r="D7" i="2"/>
  <c r="C7" i="2"/>
  <c r="B7" i="2"/>
  <c r="B6" i="2"/>
  <c r="I5" i="2"/>
  <c r="H5" i="2"/>
  <c r="G5" i="2"/>
  <c r="F5" i="2"/>
  <c r="E5" i="2"/>
  <c r="D5" i="2"/>
  <c r="C5" i="2"/>
  <c r="B5" i="2"/>
  <c r="I4" i="2"/>
  <c r="H4" i="2"/>
  <c r="G4" i="2"/>
  <c r="F4" i="2"/>
  <c r="E4" i="2"/>
  <c r="D4" i="2"/>
  <c r="C4" i="2"/>
  <c r="B4" i="2"/>
  <c r="D60" i="10" a="1"/>
  <c r="D55" i="10" a="1"/>
  <c r="D50" i="10" a="1"/>
  <c r="A2" i="10"/>
  <c r="D60" i="9" a="1"/>
  <c r="D55" i="9" a="1"/>
  <c r="D50" i="9" a="1"/>
  <c r="A2" i="9"/>
  <c r="D60" i="8" a="1"/>
  <c r="D55" i="8" a="1"/>
  <c r="D50" i="8" a="1"/>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A2" i="8"/>
  <c r="D60" i="7" a="1"/>
  <c r="D55" i="7" a="1"/>
  <c r="D50" i="7" a="1"/>
  <c r="K42" i="7"/>
  <c r="J42" i="7"/>
  <c r="K41" i="7"/>
  <c r="J41" i="7"/>
  <c r="K40" i="7"/>
  <c r="J40" i="7"/>
  <c r="K39" i="7"/>
  <c r="J39" i="7"/>
  <c r="K38" i="7"/>
  <c r="J38" i="7"/>
  <c r="K37" i="7"/>
  <c r="J37" i="7"/>
  <c r="K36" i="7"/>
  <c r="J36" i="7"/>
  <c r="K35" i="7"/>
  <c r="J35" i="7"/>
  <c r="K34" i="7"/>
  <c r="J34" i="7"/>
  <c r="K33" i="7"/>
  <c r="J33" i="7"/>
  <c r="K32" i="7"/>
  <c r="J32" i="7"/>
  <c r="K31" i="7"/>
  <c r="J31" i="7"/>
  <c r="K30" i="7"/>
  <c r="J30" i="7"/>
  <c r="K29" i="7"/>
  <c r="J29" i="7"/>
  <c r="K28" i="7"/>
  <c r="J28" i="7"/>
  <c r="K27" i="7"/>
  <c r="J27" i="7"/>
  <c r="K26" i="7"/>
  <c r="J26" i="7"/>
  <c r="K25" i="7"/>
  <c r="J25" i="7"/>
  <c r="K24" i="7"/>
  <c r="J24" i="7"/>
  <c r="K23" i="7"/>
  <c r="J23" i="7"/>
  <c r="K22" i="7"/>
  <c r="J22" i="7"/>
  <c r="K21" i="7"/>
  <c r="J21" i="7"/>
  <c r="K20" i="7"/>
  <c r="J20" i="7"/>
  <c r="K19" i="7"/>
  <c r="J19" i="7"/>
  <c r="K18" i="7"/>
  <c r="J18" i="7"/>
  <c r="K17" i="7"/>
  <c r="J17" i="7"/>
  <c r="A2" i="7"/>
  <c r="D60" i="6" a="1"/>
  <c r="D55" i="6" a="1"/>
  <c r="D50" i="6" a="1"/>
  <c r="K42" i="6"/>
  <c r="J42" i="6"/>
  <c r="K41" i="6"/>
  <c r="J41" i="6"/>
  <c r="K40" i="6"/>
  <c r="J40" i="6"/>
  <c r="K39" i="6"/>
  <c r="J39" i="6"/>
  <c r="K38" i="6"/>
  <c r="J38" i="6"/>
  <c r="K37" i="6"/>
  <c r="J37" i="6"/>
  <c r="K36" i="6"/>
  <c r="J36" i="6"/>
  <c r="K35" i="6"/>
  <c r="J35" i="6"/>
  <c r="K34" i="6"/>
  <c r="J34" i="6"/>
  <c r="K33" i="6"/>
  <c r="J33" i="6"/>
  <c r="K32" i="6"/>
  <c r="J32" i="6"/>
  <c r="K31" i="6"/>
  <c r="J31" i="6"/>
  <c r="K30" i="6"/>
  <c r="J30" i="6"/>
  <c r="K29" i="6"/>
  <c r="J29" i="6"/>
  <c r="K28" i="6"/>
  <c r="J28" i="6"/>
  <c r="K27" i="6"/>
  <c r="J27" i="6"/>
  <c r="K26" i="6"/>
  <c r="J26" i="6"/>
  <c r="K25" i="6"/>
  <c r="J25" i="6"/>
  <c r="K24" i="6"/>
  <c r="J24" i="6"/>
  <c r="K23" i="6"/>
  <c r="J23" i="6"/>
  <c r="K22" i="6"/>
  <c r="J22" i="6"/>
  <c r="K21" i="6"/>
  <c r="J21" i="6"/>
  <c r="K20" i="6"/>
  <c r="J20" i="6"/>
  <c r="K19" i="6"/>
  <c r="J19" i="6"/>
  <c r="K18" i="6"/>
  <c r="J18" i="6"/>
  <c r="K17" i="6"/>
  <c r="J17" i="6"/>
  <c r="A2" i="6"/>
  <c r="D60" i="5" a="1"/>
  <c r="D55" i="5" a="1"/>
  <c r="D50" i="5" a="1"/>
  <c r="K42" i="5"/>
  <c r="J42" i="5"/>
  <c r="K41" i="5"/>
  <c r="J41" i="5"/>
  <c r="K40" i="5"/>
  <c r="J40" i="5"/>
  <c r="K39" i="5"/>
  <c r="J39" i="5"/>
  <c r="K38" i="5"/>
  <c r="J38" i="5"/>
  <c r="K37" i="5"/>
  <c r="J37" i="5"/>
  <c r="K36" i="5"/>
  <c r="J36" i="5"/>
  <c r="K35" i="5"/>
  <c r="J35" i="5"/>
  <c r="K34" i="5"/>
  <c r="J34" i="5"/>
  <c r="K33" i="5"/>
  <c r="J33" i="5"/>
  <c r="K32" i="5"/>
  <c r="J32" i="5"/>
  <c r="K31" i="5"/>
  <c r="J31" i="5"/>
  <c r="K30" i="5"/>
  <c r="J30" i="5"/>
  <c r="K29" i="5"/>
  <c r="J29" i="5"/>
  <c r="K28" i="5"/>
  <c r="J28" i="5"/>
  <c r="K27" i="5"/>
  <c r="J27" i="5"/>
  <c r="K26" i="5"/>
  <c r="J26" i="5"/>
  <c r="K25" i="5"/>
  <c r="J25" i="5"/>
  <c r="K24" i="5"/>
  <c r="J24" i="5"/>
  <c r="K23" i="5"/>
  <c r="J23" i="5"/>
  <c r="K22" i="5"/>
  <c r="J22" i="5"/>
  <c r="K21" i="5"/>
  <c r="J21" i="5"/>
  <c r="K20" i="5"/>
  <c r="J20" i="5"/>
  <c r="A2" i="5"/>
  <c r="D60" i="4" a="1"/>
  <c r="D55" i="4" a="1"/>
  <c r="D50" i="4" a="1"/>
  <c r="K42" i="4"/>
  <c r="J42" i="4"/>
  <c r="K41" i="4"/>
  <c r="J41" i="4"/>
  <c r="K40" i="4"/>
  <c r="J40" i="4"/>
  <c r="K39" i="4"/>
  <c r="J39" i="4"/>
  <c r="K38" i="4"/>
  <c r="J38" i="4"/>
  <c r="K37" i="4"/>
  <c r="J37" i="4"/>
  <c r="K36" i="4"/>
  <c r="J36" i="4"/>
  <c r="K35" i="4"/>
  <c r="J35" i="4"/>
  <c r="K34" i="4"/>
  <c r="J34" i="4"/>
  <c r="K33" i="4"/>
  <c r="J33" i="4"/>
  <c r="K32" i="4"/>
  <c r="J32" i="4"/>
  <c r="K31" i="4"/>
  <c r="J31" i="4"/>
  <c r="K30" i="4"/>
  <c r="J30" i="4"/>
  <c r="K29" i="4"/>
  <c r="J29" i="4"/>
  <c r="K28" i="4"/>
  <c r="J28" i="4"/>
  <c r="K27" i="4"/>
  <c r="J27" i="4"/>
  <c r="K26" i="4"/>
  <c r="J26" i="4"/>
  <c r="K25" i="4"/>
  <c r="J25" i="4"/>
  <c r="K24" i="4"/>
  <c r="J24" i="4"/>
  <c r="A2" i="4"/>
  <c r="D60" i="1" a="1"/>
  <c r="D55" i="1" a="1"/>
  <c r="D50" i="1" a="1"/>
  <c r="A3" i="1"/>
  <c r="A51" i="2" l="1"/>
  <c r="E60" i="9" a="1"/>
  <c r="E32" i="10"/>
  <c r="E60" i="10" s="1" a="1"/>
  <c r="R13" i="2" a="1"/>
  <c r="C6" i="2"/>
  <c r="C8" i="2" s="1"/>
  <c r="K1" i="3" a="1"/>
  <c r="C2" i="3" a="1"/>
  <c r="B10" i="2"/>
  <c r="J5" i="1" s="1"/>
  <c r="B8" i="2"/>
  <c r="C10" i="2" l="1"/>
  <c r="J5" i="4" s="1"/>
  <c r="D6" i="2"/>
  <c r="U13" i="2" a="1"/>
  <c r="D8" i="2" l="1"/>
  <c r="D10" i="2"/>
  <c r="J5" i="5" s="1"/>
  <c r="X13" i="2" a="1"/>
  <c r="E6" i="2"/>
  <c r="F6" i="2"/>
  <c r="AA13" i="2" a="1"/>
  <c r="J28" i="1"/>
  <c r="K28" i="1" s="1"/>
  <c r="J32" i="1"/>
  <c r="K32" i="1" s="1"/>
  <c r="J26" i="1"/>
  <c r="K26" i="1" s="1"/>
  <c r="J40" i="1"/>
  <c r="K40" i="1" s="1"/>
  <c r="J34" i="1"/>
  <c r="K34" i="1" s="1"/>
  <c r="J29" i="1"/>
  <c r="K29" i="1" s="1"/>
  <c r="J39" i="1"/>
  <c r="K39" i="1" s="1"/>
  <c r="J38" i="1"/>
  <c r="K38" i="1" s="1"/>
  <c r="J36" i="1"/>
  <c r="K36" i="1" s="1"/>
  <c r="J31" i="1"/>
  <c r="K31" i="1" s="1"/>
  <c r="J30" i="1"/>
  <c r="K30" i="1" s="1"/>
  <c r="J33" i="1"/>
  <c r="K33" i="1" s="1"/>
  <c r="J42" i="1"/>
  <c r="K42" i="1" s="1"/>
  <c r="J41" i="1"/>
  <c r="K41" i="1" s="1"/>
  <c r="J27" i="1"/>
  <c r="K27" i="1" s="1"/>
  <c r="J37" i="1"/>
  <c r="K37" i="1" s="1"/>
  <c r="G6" i="2"/>
  <c r="AD13" i="2" a="1"/>
  <c r="J16" i="7"/>
  <c r="K16" i="7" s="1"/>
  <c r="J15" i="7"/>
  <c r="K15" i="7" s="1"/>
  <c r="J13" i="7"/>
  <c r="K13" i="7" s="1"/>
  <c r="J14" i="7"/>
  <c r="K14" i="7" s="1"/>
  <c r="AG13" i="2" a="1"/>
  <c r="H6" i="2"/>
  <c r="J18" i="8"/>
  <c r="K18" i="8" s="1"/>
  <c r="J17" i="8"/>
  <c r="K17" i="8" s="1"/>
  <c r="J19" i="8"/>
  <c r="K19" i="8" s="1"/>
  <c r="AJ13" i="2" a="1"/>
  <c r="I6" i="2"/>
  <c r="H8" i="2" l="1"/>
  <c r="H13" i="2" s="1" a="1"/>
  <c r="H10" i="2"/>
  <c r="J5" i="9" s="1"/>
  <c r="G8" i="2"/>
  <c r="G13" i="2" s="1" a="1"/>
  <c r="G10" i="2"/>
  <c r="J5" i="8" s="1"/>
  <c r="F8" i="2"/>
  <c r="F13" i="2" s="1" a="1"/>
  <c r="F10" i="2"/>
  <c r="J5" i="7" s="1"/>
  <c r="E8" i="2"/>
  <c r="E10" i="2"/>
  <c r="J5" i="6" s="1"/>
  <c r="J13" i="5"/>
  <c r="K13" i="5" s="1"/>
  <c r="J12" i="5"/>
  <c r="K12" i="5" s="1"/>
  <c r="J10" i="5"/>
  <c r="K10" i="5" s="1"/>
  <c r="J16" i="5"/>
  <c r="K16" i="5" s="1"/>
  <c r="J9" i="5"/>
  <c r="K9" i="5" s="1"/>
  <c r="J14" i="5"/>
  <c r="K14" i="5" s="1"/>
  <c r="J8" i="5"/>
  <c r="K8" i="5" s="1"/>
  <c r="J11" i="5"/>
  <c r="K11" i="5" s="1"/>
  <c r="J15" i="5"/>
  <c r="K15" i="5" s="1"/>
  <c r="J19" i="5"/>
  <c r="K19" i="5" s="1"/>
  <c r="J18" i="5"/>
  <c r="K18" i="5" s="1"/>
  <c r="J17" i="5"/>
  <c r="K17" i="5" s="1"/>
  <c r="J24" i="1"/>
  <c r="K24" i="1" s="1"/>
  <c r="J18" i="1"/>
  <c r="K18" i="1" s="1"/>
  <c r="J22" i="1"/>
  <c r="K22" i="1" s="1"/>
  <c r="J19" i="1"/>
  <c r="K19" i="1" s="1"/>
  <c r="J21" i="1"/>
  <c r="K21" i="1" s="1"/>
  <c r="J35" i="1"/>
  <c r="K35" i="1" s="1"/>
  <c r="J20" i="1"/>
  <c r="K20" i="1" s="1"/>
  <c r="J23" i="1"/>
  <c r="K23" i="1" s="1"/>
  <c r="I10" i="2"/>
  <c r="J5" i="10" s="1"/>
  <c r="I8" i="2"/>
  <c r="I13" i="2" s="1" a="1"/>
  <c r="J34" i="9"/>
  <c r="K34" i="9" s="1"/>
  <c r="J36" i="9"/>
  <c r="K36" i="9" s="1"/>
  <c r="J21" i="9"/>
  <c r="K21" i="9" s="1"/>
  <c r="J20" i="9"/>
  <c r="K20" i="9" s="1"/>
  <c r="J30" i="9"/>
  <c r="K30" i="9" s="1"/>
  <c r="J26" i="9"/>
  <c r="K26" i="9" s="1"/>
  <c r="J28" i="9"/>
  <c r="K28" i="9" s="1"/>
  <c r="J38" i="9"/>
  <c r="K38" i="9" s="1"/>
  <c r="J40" i="9"/>
  <c r="K40" i="9" s="1"/>
  <c r="J13" i="9"/>
  <c r="K13" i="9" s="1"/>
  <c r="J18" i="9"/>
  <c r="K18" i="9" s="1"/>
  <c r="J32" i="9"/>
  <c r="K32" i="9" s="1"/>
  <c r="J22" i="9"/>
  <c r="K22" i="9" s="1"/>
  <c r="J24" i="9"/>
  <c r="K24" i="9" s="1"/>
  <c r="J25" i="9"/>
  <c r="K25" i="9" s="1"/>
  <c r="J23" i="9"/>
  <c r="K23" i="9" s="1"/>
  <c r="J27" i="9"/>
  <c r="K27" i="9" s="1"/>
  <c r="J37" i="9"/>
  <c r="K37" i="9" s="1"/>
  <c r="J39" i="9"/>
  <c r="K39" i="9" s="1"/>
  <c r="J41" i="9"/>
  <c r="K41" i="9" s="1"/>
  <c r="J14" i="9"/>
  <c r="K14" i="9" s="1"/>
  <c r="J16" i="9"/>
  <c r="K16" i="9" s="1"/>
  <c r="J42" i="9"/>
  <c r="K42" i="9" s="1"/>
  <c r="J15" i="9"/>
  <c r="K15" i="9" s="1"/>
  <c r="J17" i="9"/>
  <c r="K17" i="9" s="1"/>
  <c r="J19" i="9"/>
  <c r="K19" i="9" s="1"/>
  <c r="J29" i="9"/>
  <c r="K29" i="9" s="1"/>
  <c r="J31" i="9"/>
  <c r="K31" i="9" s="1"/>
  <c r="J33" i="9"/>
  <c r="K33" i="9" s="1"/>
  <c r="J35" i="9"/>
  <c r="K35" i="9" s="1"/>
  <c r="J39" i="10"/>
  <c r="K39" i="10" s="1"/>
  <c r="J31" i="10"/>
  <c r="K31" i="10" s="1"/>
  <c r="J23" i="10"/>
  <c r="K23" i="10" s="1"/>
  <c r="J15" i="10"/>
  <c r="K15" i="10" s="1"/>
  <c r="J41" i="10"/>
  <c r="K41" i="10" s="1"/>
  <c r="J33" i="10"/>
  <c r="K33" i="10" s="1"/>
  <c r="J25" i="10"/>
  <c r="K25" i="10" s="1"/>
  <c r="J17" i="10"/>
  <c r="K17" i="10" s="1"/>
  <c r="J14" i="10"/>
  <c r="K14" i="10" s="1"/>
  <c r="J35" i="10"/>
  <c r="K35" i="10" s="1"/>
  <c r="J27" i="10"/>
  <c r="K27" i="10" s="1"/>
  <c r="J11" i="10"/>
  <c r="K11" i="10" s="1"/>
  <c r="J38" i="10"/>
  <c r="K38" i="10" s="1"/>
  <c r="J30" i="10"/>
  <c r="K30" i="10" s="1"/>
  <c r="J22" i="10"/>
  <c r="K22" i="10" s="1"/>
  <c r="J19" i="10"/>
  <c r="K19" i="10" s="1"/>
  <c r="J34" i="10"/>
  <c r="K34" i="10" s="1"/>
  <c r="J18" i="10"/>
  <c r="K18" i="10" s="1"/>
  <c r="J36" i="10"/>
  <c r="K36" i="10" s="1"/>
  <c r="J24" i="10"/>
  <c r="K24" i="10" s="1"/>
  <c r="J28" i="10"/>
  <c r="K28" i="10" s="1"/>
  <c r="J12" i="10"/>
  <c r="K12" i="10" s="1"/>
  <c r="J40" i="10"/>
  <c r="K40" i="10" s="1"/>
  <c r="J29" i="10"/>
  <c r="K29" i="10" s="1"/>
  <c r="J32" i="10"/>
  <c r="K32" i="10" s="1"/>
  <c r="J16" i="10"/>
  <c r="K16" i="10" s="1"/>
  <c r="J37" i="10"/>
  <c r="K37" i="10" s="1"/>
  <c r="J21" i="10"/>
  <c r="K21" i="10" s="1"/>
  <c r="J42" i="10"/>
  <c r="K42" i="10" s="1"/>
  <c r="J26" i="10"/>
  <c r="K26" i="10" s="1"/>
  <c r="J20" i="10"/>
  <c r="K20" i="10" s="1"/>
  <c r="J13" i="10"/>
  <c r="K13" i="10" s="1"/>
  <c r="J9" i="10" l="1"/>
  <c r="K9" i="10" s="1"/>
  <c r="J8" i="10"/>
  <c r="K8" i="10" s="1"/>
  <c r="J10" i="10"/>
  <c r="K10" i="10" s="1"/>
  <c r="J10" i="9"/>
  <c r="K10" i="9" s="1"/>
  <c r="J8" i="9"/>
  <c r="K8" i="9" s="1"/>
  <c r="J9" i="9"/>
  <c r="K9" i="9" s="1"/>
  <c r="J11" i="9"/>
  <c r="K11" i="9" s="1"/>
  <c r="J12" i="9"/>
  <c r="K12" i="9" s="1"/>
  <c r="J12" i="8"/>
  <c r="K12" i="8" s="1"/>
  <c r="J14" i="8"/>
  <c r="K14" i="8" s="1"/>
  <c r="J10" i="8"/>
  <c r="K10" i="8" s="1"/>
  <c r="J9" i="8"/>
  <c r="K9" i="8" s="1"/>
  <c r="J13" i="8"/>
  <c r="K13" i="8" s="1"/>
  <c r="J8" i="8"/>
  <c r="K8" i="8" s="1"/>
  <c r="J16" i="8"/>
  <c r="K16" i="8" s="1"/>
  <c r="J11" i="8"/>
  <c r="K11" i="8" s="1"/>
  <c r="J15" i="8"/>
  <c r="K15" i="8" s="1"/>
  <c r="J12" i="7"/>
  <c r="K12" i="7" s="1"/>
  <c r="J10" i="7"/>
  <c r="K10" i="7" s="1"/>
  <c r="J8" i="7"/>
  <c r="K8" i="7" s="1"/>
  <c r="J11" i="7"/>
  <c r="K11" i="7" s="1"/>
  <c r="J9" i="7"/>
  <c r="K9" i="7" s="1"/>
  <c r="E13" i="2" a="1"/>
  <c r="K13" i="2" a="1"/>
  <c r="J9" i="6" l="1"/>
  <c r="K9" i="6" s="1"/>
  <c r="J8" i="6"/>
  <c r="K8" i="6" s="1"/>
  <c r="J10" i="6"/>
  <c r="K10" i="6" s="1"/>
  <c r="J12" i="6"/>
  <c r="K12" i="6" s="1"/>
  <c r="J11" i="6"/>
  <c r="K11" i="6" s="1"/>
  <c r="J13" i="6"/>
  <c r="K13" i="6" s="1"/>
  <c r="J14" i="6"/>
  <c r="K14" i="6" s="1"/>
  <c r="J15" i="6"/>
  <c r="K15" i="6" s="1"/>
  <c r="J16" i="6"/>
  <c r="K16" i="6" s="1"/>
  <c r="AJ13" i="2"/>
  <c r="AI13" i="2"/>
  <c r="AG13" i="2"/>
  <c r="AF13" i="2"/>
  <c r="AD13" i="2"/>
  <c r="AC13" i="2"/>
  <c r="AA13" i="2"/>
  <c r="Z13" i="2"/>
  <c r="X13" i="2"/>
  <c r="W13" i="2"/>
  <c r="U13" i="2"/>
  <c r="T13" i="2"/>
  <c r="R13" i="2"/>
  <c r="Q13" i="2"/>
  <c r="O13" i="2"/>
  <c r="N13" i="2"/>
  <c r="P13" i="2" s="1" a="1"/>
  <c r="K13" i="2"/>
  <c r="I13" i="2"/>
  <c r="J7" i="10" s="1"/>
  <c r="K7" i="10" s="1"/>
  <c r="H13" i="2"/>
  <c r="J7" i="9" s="1"/>
  <c r="K7" i="9" s="1"/>
  <c r="G13" i="2"/>
  <c r="J7" i="8" s="1"/>
  <c r="K7" i="8" s="1"/>
  <c r="F13" i="2"/>
  <c r="J7" i="7" s="1"/>
  <c r="K7" i="7" s="1"/>
  <c r="E13" i="2"/>
  <c r="J7" i="6" s="1"/>
  <c r="K7" i="6" s="1"/>
  <c r="A41" i="3"/>
  <c r="C2" i="3"/>
  <c r="K1" i="3"/>
  <c r="G2" i="3" s="1"/>
  <c r="E60" i="10"/>
  <c r="D60" i="10"/>
  <c r="I68" i="2" s="1" a="1"/>
  <c r="I68" i="2" s="1"/>
  <c r="E55" i="10"/>
  <c r="D55" i="10"/>
  <c r="I63" i="2" s="1" a="1"/>
  <c r="I63" i="2" s="1"/>
  <c r="E50" i="10"/>
  <c r="D50" i="10"/>
  <c r="E60" i="9"/>
  <c r="D60" i="9"/>
  <c r="H68" i="2" s="1" a="1"/>
  <c r="E55" i="9"/>
  <c r="D55" i="9"/>
  <c r="H63" i="2" s="1" a="1"/>
  <c r="H63" i="2" s="1"/>
  <c r="E50" i="9"/>
  <c r="D50" i="9"/>
  <c r="E60" i="8"/>
  <c r="D60" i="8"/>
  <c r="E55" i="8"/>
  <c r="D55" i="8"/>
  <c r="G63" i="2" s="1" a="1"/>
  <c r="G63" i="2" s="1"/>
  <c r="E50" i="8"/>
  <c r="D50" i="8"/>
  <c r="D45" i="8" s="1" a="1"/>
  <c r="D45" i="8"/>
  <c r="E60" i="7"/>
  <c r="D60" i="7"/>
  <c r="F68" i="2" s="1" a="1"/>
  <c r="E55" i="7"/>
  <c r="D55" i="7"/>
  <c r="F63" i="2" s="1" a="1"/>
  <c r="F63" i="2" s="1"/>
  <c r="E50" i="7"/>
  <c r="D50" i="7"/>
  <c r="F58" i="2" s="1" a="1"/>
  <c r="F58" i="2" s="1"/>
  <c r="E60" i="6"/>
  <c r="D60" i="6"/>
  <c r="E68" i="2" s="1" a="1"/>
  <c r="E68" i="2" s="1"/>
  <c r="E55" i="6"/>
  <c r="D55" i="6"/>
  <c r="E63" i="2" s="1" a="1"/>
  <c r="E63" i="2" s="1"/>
  <c r="E50" i="6"/>
  <c r="D50" i="6"/>
  <c r="E60" i="5"/>
  <c r="D60" i="5"/>
  <c r="D68" i="2" s="1" a="1"/>
  <c r="D68" i="2" s="1"/>
  <c r="E55" i="5"/>
  <c r="D55" i="5"/>
  <c r="D63" i="2" s="1" a="1"/>
  <c r="D63" i="2" s="1"/>
  <c r="E50" i="5"/>
  <c r="D50" i="5"/>
  <c r="E60" i="4"/>
  <c r="D60" i="4"/>
  <c r="E55" i="4"/>
  <c r="D55" i="4"/>
  <c r="E50" i="4"/>
  <c r="D50" i="4"/>
  <c r="E60" i="1"/>
  <c r="D60" i="1"/>
  <c r="B68" i="2" s="1" a="1"/>
  <c r="B68" i="2" s="1"/>
  <c r="E55" i="1"/>
  <c r="D55" i="1"/>
  <c r="B63" i="2" s="1" a="1"/>
  <c r="B63" i="2" s="1"/>
  <c r="E50" i="1"/>
  <c r="D50" i="1"/>
  <c r="E45" i="10" l="1" a="1"/>
  <c r="E45" i="10" s="1"/>
  <c r="E45" i="7" a="1"/>
  <c r="D58" i="2" s="1" a="1"/>
  <c r="D58" i="2" s="1"/>
  <c r="E45" i="8" a="1"/>
  <c r="E45" i="8" s="1"/>
  <c r="D45" i="1" a="1"/>
  <c r="B58" i="2" a="1"/>
  <c r="B58" i="2" s="1"/>
  <c r="P13" i="2"/>
  <c r="N9" i="2" s="1"/>
  <c r="E45" i="4" a="1"/>
  <c r="E45" i="4" s="1"/>
  <c r="C58" i="2" a="1"/>
  <c r="D45" i="4" a="1"/>
  <c r="S13" i="2" a="1"/>
  <c r="D45" i="5" a="1"/>
  <c r="V13" i="2" a="1"/>
  <c r="E45" i="5" a="1"/>
  <c r="E45" i="5" s="1"/>
  <c r="E45" i="6" a="1"/>
  <c r="Y13" i="2" a="1"/>
  <c r="Y13" i="2" s="1"/>
  <c r="W9" i="2" s="1"/>
  <c r="D45" i="6" a="1"/>
  <c r="E58" i="2" a="1"/>
  <c r="E58" i="2" s="1"/>
  <c r="AB13" i="2" a="1"/>
  <c r="AB13" i="2" s="1"/>
  <c r="Z9" i="2" s="1"/>
  <c r="D45" i="7" a="1"/>
  <c r="F68" i="2"/>
  <c r="G68" i="2" a="1"/>
  <c r="G68" i="2" s="1"/>
  <c r="G53" i="2" a="1"/>
  <c r="G53" i="2" s="1"/>
  <c r="G58" i="2" a="1"/>
  <c r="G58" i="2" s="1"/>
  <c r="AE13" i="2" a="1"/>
  <c r="AE13" i="2" s="1"/>
  <c r="AC9" i="2" s="1"/>
  <c r="D45" i="9" a="1"/>
  <c r="H58" i="2" a="1"/>
  <c r="E45" i="9" a="1"/>
  <c r="E45" i="9" s="1"/>
  <c r="H68" i="2"/>
  <c r="D45" i="10" a="1"/>
  <c r="I58" i="2" a="1"/>
  <c r="I58" i="2" s="1"/>
  <c r="AK13" i="2" a="1"/>
  <c r="AK13" i="2" s="1"/>
  <c r="S13" i="2" l="1"/>
  <c r="Q9" i="2" s="1"/>
  <c r="R7" i="2" s="1"/>
  <c r="C13" i="2" a="1"/>
  <c r="V13" i="2"/>
  <c r="T9" i="2" s="1"/>
  <c r="U7" i="2" s="1"/>
  <c r="D13" i="2" a="1"/>
  <c r="D13" i="2" s="1"/>
  <c r="J7" i="5" s="1"/>
  <c r="K7" i="5" s="1"/>
  <c r="B13" i="2" a="1"/>
  <c r="C5" i="3" a="1"/>
  <c r="C5" i="3" s="1"/>
  <c r="E45" i="7"/>
  <c r="AI9" i="2"/>
  <c r="AK7" i="2" s="1"/>
  <c r="O7" i="2"/>
  <c r="P7" i="2"/>
  <c r="N7" i="2"/>
  <c r="D45" i="1"/>
  <c r="B53" i="2" s="1" a="1"/>
  <c r="B53" i="2" s="1"/>
  <c r="D45" i="4"/>
  <c r="C53" i="2" s="1" a="1"/>
  <c r="C53" i="2" s="1"/>
  <c r="C68" i="2" a="1"/>
  <c r="C58" i="2"/>
  <c r="D45" i="5"/>
  <c r="D53" i="2" s="1" a="1"/>
  <c r="D53" i="2" s="1"/>
  <c r="X7" i="2"/>
  <c r="W7" i="2"/>
  <c r="Y7" i="2"/>
  <c r="E53" i="2" a="1"/>
  <c r="E53" i="2" s="1"/>
  <c r="D45" i="6"/>
  <c r="E45" i="1" a="1"/>
  <c r="E45" i="1" s="1"/>
  <c r="E45" i="6"/>
  <c r="Z7" i="2"/>
  <c r="AA7" i="2"/>
  <c r="AB7" i="2"/>
  <c r="F53" i="2" a="1"/>
  <c r="F53" i="2" s="1"/>
  <c r="D45" i="7"/>
  <c r="AC7" i="2"/>
  <c r="AD7" i="2"/>
  <c r="AE7" i="2"/>
  <c r="AH13" i="2" a="1"/>
  <c r="AH13" i="2" s="1"/>
  <c r="AF9" i="2" s="1"/>
  <c r="H58" i="2"/>
  <c r="D45" i="9"/>
  <c r="H53" i="2" s="1" a="1"/>
  <c r="H53" i="2" s="1"/>
  <c r="I53" i="2" a="1"/>
  <c r="I53" i="2" s="1"/>
  <c r="D45" i="10"/>
  <c r="C13" i="2" l="1"/>
  <c r="J7" i="4" s="1"/>
  <c r="K7" i="4" s="1"/>
  <c r="J23" i="4"/>
  <c r="K23" i="4" s="1"/>
  <c r="J22" i="4"/>
  <c r="K22" i="4" s="1"/>
  <c r="J21" i="4"/>
  <c r="K21" i="4" s="1"/>
  <c r="J20" i="4"/>
  <c r="K20" i="4" s="1"/>
  <c r="J14" i="4"/>
  <c r="K14" i="4" s="1"/>
  <c r="J17" i="4"/>
  <c r="K17" i="4" s="1"/>
  <c r="J12" i="4"/>
  <c r="K12" i="4" s="1"/>
  <c r="J15" i="4"/>
  <c r="K15" i="4" s="1"/>
  <c r="J11" i="4"/>
  <c r="K11" i="4" s="1"/>
  <c r="J13" i="4"/>
  <c r="K13" i="4" s="1"/>
  <c r="J10" i="4"/>
  <c r="K10" i="4" s="1"/>
  <c r="J18" i="4"/>
  <c r="K18" i="4" s="1"/>
  <c r="J9" i="4"/>
  <c r="K9" i="4" s="1"/>
  <c r="J8" i="4"/>
  <c r="K8" i="4" s="1"/>
  <c r="J16" i="4"/>
  <c r="K16" i="4" s="1"/>
  <c r="J19" i="4"/>
  <c r="K19" i="4" s="1"/>
  <c r="Q7" i="2"/>
  <c r="S7" i="2"/>
  <c r="V7" i="2"/>
  <c r="T7" i="2"/>
  <c r="J16" i="1"/>
  <c r="K16" i="1" s="1"/>
  <c r="J15" i="1"/>
  <c r="K15" i="1" s="1"/>
  <c r="J17" i="1"/>
  <c r="K17" i="1" s="1"/>
  <c r="J10" i="1"/>
  <c r="K10" i="1" s="1"/>
  <c r="J9" i="1"/>
  <c r="K9" i="1" s="1"/>
  <c r="J14" i="1"/>
  <c r="K14" i="1" s="1"/>
  <c r="J11" i="1"/>
  <c r="K11" i="1" s="1"/>
  <c r="J8" i="1"/>
  <c r="K8" i="1" s="1"/>
  <c r="J12" i="1"/>
  <c r="K12" i="1" s="1"/>
  <c r="J13" i="1"/>
  <c r="K13" i="1" s="1"/>
  <c r="J25" i="1"/>
  <c r="K25" i="1" s="1"/>
  <c r="B13" i="2"/>
  <c r="AI7" i="2"/>
  <c r="AJ7" i="2"/>
  <c r="B12" i="11" a="1"/>
  <c r="B12" i="11" s="1"/>
  <c r="C63" i="2" a="1"/>
  <c r="C63" i="2" s="1"/>
  <c r="B17" i="11" s="1" a="1"/>
  <c r="B17" i="11" s="1"/>
  <c r="C68" i="2"/>
  <c r="B22" i="11" s="1" a="1"/>
  <c r="B22" i="11" s="1"/>
  <c r="B7" i="11" a="1"/>
  <c r="B7" i="11" s="1"/>
  <c r="AH7" i="2"/>
  <c r="AF7" i="2"/>
  <c r="AG7" i="2"/>
  <c r="J7" i="1" l="1"/>
  <c r="K7" i="1" s="1"/>
  <c r="K8" i="11" a="1"/>
  <c r="K8" i="11" s="1"/>
  <c r="AM11" i="2" a="1"/>
  <c r="AM11" i="2" s="1"/>
  <c r="C6" i="18" s="1" a="1"/>
  <c r="C6" i="18" s="1"/>
  <c r="K7" i="11" a="1"/>
  <c r="K7"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Cat Hall</author>
  </authors>
  <commentList>
    <comment ref="G3" authorId="0" shapeId="0" xr:uid="{60287469-226D-45F8-9881-6D28A137C39F}">
      <text>
        <r>
          <rPr>
            <b/>
            <sz val="9"/>
            <color indexed="81"/>
            <rFont val="Tahoma"/>
            <family val="2"/>
          </rPr>
          <t>Enter your name</t>
        </r>
        <r>
          <rPr>
            <sz val="9"/>
            <color indexed="81"/>
            <rFont val="Tahoma"/>
            <family val="2"/>
          </rPr>
          <t xml:space="preserve">
</t>
        </r>
      </text>
    </comment>
    <comment ref="D6" authorId="0" shapeId="0" xr:uid="{51C049E5-CB60-4E4D-9D56-1D5D02C89CAA}">
      <text>
        <r>
          <rPr>
            <b/>
            <sz val="9"/>
            <color indexed="81"/>
            <rFont val="Tahoma"/>
            <family val="2"/>
          </rPr>
          <t>How would you rate your current knowledge or skill on this competency? </t>
        </r>
        <r>
          <rPr>
            <sz val="9"/>
            <color indexed="81"/>
            <rFont val="Tahoma"/>
            <family val="2"/>
          </rPr>
          <t xml:space="preserve">
</t>
        </r>
      </text>
    </comment>
    <comment ref="E6" authorId="0" shapeId="0" xr:uid="{1EC7E022-4D5D-4487-A7DC-6F865CF7B1ED}">
      <text>
        <r>
          <rPr>
            <b/>
            <sz val="9"/>
            <color indexed="81"/>
            <rFont val="Tahoma"/>
            <family val="2"/>
          </rPr>
          <t>Is this competency essential to your current job responsibilities?</t>
        </r>
        <r>
          <rPr>
            <sz val="9"/>
            <color indexed="81"/>
            <rFont val="Tahoma"/>
            <family val="2"/>
          </rPr>
          <t xml:space="preserve">
</t>
        </r>
      </text>
    </comment>
    <comment ref="F6" authorId="0" shapeId="0" xr:uid="{89EFC14E-1C57-49BA-8F94-94C6F443F65D}">
      <text>
        <r>
          <rPr>
            <sz val="9"/>
            <color indexed="81"/>
            <rFont val="Tahoma"/>
            <family val="2"/>
          </rPr>
          <t xml:space="preserve">If Min comp or Comp on "Rate": </t>
        </r>
        <r>
          <rPr>
            <b/>
            <sz val="9"/>
            <color indexed="81"/>
            <rFont val="Tahoma"/>
            <family val="2"/>
          </rPr>
          <t xml:space="preserve">
Would you like to acquire or improve this competency?</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Cat Hall</author>
  </authors>
  <commentList>
    <comment ref="D6" authorId="0" shapeId="0" xr:uid="{AD9FBED1-539E-4E6C-9492-16FFEEEFAB81}">
      <text>
        <r>
          <rPr>
            <b/>
            <sz val="9"/>
            <color indexed="81"/>
            <rFont val="Tahoma"/>
            <family val="2"/>
          </rPr>
          <t>How would you rate your current knowledge or skill on this competency? </t>
        </r>
        <r>
          <rPr>
            <sz val="9"/>
            <color indexed="81"/>
            <rFont val="Tahoma"/>
            <family val="2"/>
          </rPr>
          <t xml:space="preserve">
</t>
        </r>
      </text>
    </comment>
    <comment ref="E6" authorId="0" shapeId="0" xr:uid="{3934A19E-3525-4293-9548-6AD754D226A8}">
      <text>
        <r>
          <rPr>
            <b/>
            <sz val="9"/>
            <color indexed="81"/>
            <rFont val="Tahoma"/>
            <family val="2"/>
          </rPr>
          <t>Is this competency essential to your current job responsibilities?</t>
        </r>
        <r>
          <rPr>
            <sz val="9"/>
            <color indexed="81"/>
            <rFont val="Tahoma"/>
            <family val="2"/>
          </rPr>
          <t xml:space="preserve">
</t>
        </r>
      </text>
    </comment>
    <comment ref="F6" authorId="0" shapeId="0" xr:uid="{252A4520-632F-4F96-ACD5-D9B1A4A09D67}">
      <text>
        <r>
          <rPr>
            <sz val="9"/>
            <color indexed="81"/>
            <rFont val="Tahoma"/>
            <family val="2"/>
          </rPr>
          <t xml:space="preserve">If Min comp or Comp on "Rate": </t>
        </r>
        <r>
          <rPr>
            <b/>
            <sz val="9"/>
            <color indexed="81"/>
            <rFont val="Tahoma"/>
            <family val="2"/>
          </rPr>
          <t xml:space="preserve">
Would you like to acquire or improve this competency?</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Cat Hall</author>
  </authors>
  <commentList>
    <comment ref="D6" authorId="0" shapeId="0" xr:uid="{97AC47E4-D597-4549-884A-EDE83DA27578}">
      <text>
        <r>
          <rPr>
            <b/>
            <sz val="9"/>
            <color indexed="81"/>
            <rFont val="Tahoma"/>
            <family val="2"/>
          </rPr>
          <t>How would you rate your current knowledge or skill on this competency? </t>
        </r>
        <r>
          <rPr>
            <sz val="9"/>
            <color indexed="81"/>
            <rFont val="Tahoma"/>
            <family val="2"/>
          </rPr>
          <t xml:space="preserve">
</t>
        </r>
      </text>
    </comment>
    <comment ref="E6" authorId="0" shapeId="0" xr:uid="{DBAFB62A-DF59-479A-BFD5-374D67DE3FD7}">
      <text>
        <r>
          <rPr>
            <b/>
            <sz val="9"/>
            <color indexed="81"/>
            <rFont val="Tahoma"/>
            <family val="2"/>
          </rPr>
          <t>Is this competency essential to your current job responsibilities?</t>
        </r>
        <r>
          <rPr>
            <sz val="9"/>
            <color indexed="81"/>
            <rFont val="Tahoma"/>
            <family val="2"/>
          </rPr>
          <t xml:space="preserve">
</t>
        </r>
      </text>
    </comment>
    <comment ref="F6" authorId="0" shapeId="0" xr:uid="{B17E1E9C-38A2-45CA-8A1B-89A04FC51C4C}">
      <text>
        <r>
          <rPr>
            <sz val="9"/>
            <color indexed="81"/>
            <rFont val="Tahoma"/>
            <family val="2"/>
          </rPr>
          <t xml:space="preserve">If Min comp or Comp on "Rate": </t>
        </r>
        <r>
          <rPr>
            <b/>
            <sz val="9"/>
            <color indexed="81"/>
            <rFont val="Tahoma"/>
            <family val="2"/>
          </rPr>
          <t xml:space="preserve">
Would you like to acquire or improve this competency?</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Cat Hall</author>
  </authors>
  <commentList>
    <comment ref="D6" authorId="0" shapeId="0" xr:uid="{4E3067C6-AE3D-436A-8057-ABC5C9C0ED66}">
      <text>
        <r>
          <rPr>
            <b/>
            <sz val="9"/>
            <color indexed="81"/>
            <rFont val="Tahoma"/>
            <family val="2"/>
          </rPr>
          <t>How would you rate your current knowledge or skill on this competency? </t>
        </r>
        <r>
          <rPr>
            <sz val="9"/>
            <color indexed="81"/>
            <rFont val="Tahoma"/>
            <family val="2"/>
          </rPr>
          <t xml:space="preserve">
</t>
        </r>
      </text>
    </comment>
    <comment ref="E6" authorId="0" shapeId="0" xr:uid="{9D0DD855-D74D-4499-82DF-0AB7416CAF7C}">
      <text>
        <r>
          <rPr>
            <b/>
            <sz val="9"/>
            <color indexed="81"/>
            <rFont val="Tahoma"/>
            <family val="2"/>
          </rPr>
          <t>Is this competency essential to your current job responsibilities?</t>
        </r>
        <r>
          <rPr>
            <sz val="9"/>
            <color indexed="81"/>
            <rFont val="Tahoma"/>
            <family val="2"/>
          </rPr>
          <t xml:space="preserve">
</t>
        </r>
      </text>
    </comment>
    <comment ref="F6" authorId="0" shapeId="0" xr:uid="{7FDA6A03-687C-4214-B8B2-808B85B2387B}">
      <text>
        <r>
          <rPr>
            <sz val="9"/>
            <color indexed="81"/>
            <rFont val="Tahoma"/>
            <family val="2"/>
          </rPr>
          <t xml:space="preserve">If Min comp or Comp on "Rate": </t>
        </r>
        <r>
          <rPr>
            <b/>
            <sz val="9"/>
            <color indexed="81"/>
            <rFont val="Tahoma"/>
            <family val="2"/>
          </rPr>
          <t xml:space="preserve">
Would you like to acquire or improve this competency?</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Cat Hall</author>
  </authors>
  <commentList>
    <comment ref="D6" authorId="0" shapeId="0" xr:uid="{B84C74DA-0823-44B2-AFE4-07BCA3A761CD}">
      <text>
        <r>
          <rPr>
            <b/>
            <sz val="9"/>
            <color indexed="81"/>
            <rFont val="Tahoma"/>
            <family val="2"/>
          </rPr>
          <t>How would you rate your current knowledge or skill on this competency? </t>
        </r>
        <r>
          <rPr>
            <sz val="9"/>
            <color indexed="81"/>
            <rFont val="Tahoma"/>
            <family val="2"/>
          </rPr>
          <t xml:space="preserve">
</t>
        </r>
      </text>
    </comment>
    <comment ref="E6" authorId="0" shapeId="0" xr:uid="{33F2FC36-C8C5-4F94-95D1-6B41BFA10BD1}">
      <text>
        <r>
          <rPr>
            <b/>
            <sz val="9"/>
            <color indexed="81"/>
            <rFont val="Tahoma"/>
            <family val="2"/>
          </rPr>
          <t>Is this competency essential to your current job responsibilities?</t>
        </r>
        <r>
          <rPr>
            <sz val="9"/>
            <color indexed="81"/>
            <rFont val="Tahoma"/>
            <family val="2"/>
          </rPr>
          <t xml:space="preserve">
</t>
        </r>
      </text>
    </comment>
    <comment ref="F6" authorId="0" shapeId="0" xr:uid="{6BB44283-8EE1-41FE-8B40-BA4A6C1260EF}">
      <text>
        <r>
          <rPr>
            <sz val="9"/>
            <color indexed="81"/>
            <rFont val="Tahoma"/>
            <family val="2"/>
          </rPr>
          <t xml:space="preserve">If Min comp or Comp on "Rate": </t>
        </r>
        <r>
          <rPr>
            <b/>
            <sz val="9"/>
            <color indexed="81"/>
            <rFont val="Tahoma"/>
            <family val="2"/>
          </rPr>
          <t xml:space="preserve">
Would you like to acquire or improve this competency?</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Cat Hall</author>
  </authors>
  <commentList>
    <comment ref="D6" authorId="0" shapeId="0" xr:uid="{61ADC034-9216-4123-824B-4963188C1D9F}">
      <text>
        <r>
          <rPr>
            <b/>
            <sz val="9"/>
            <color indexed="81"/>
            <rFont val="Tahoma"/>
            <family val="2"/>
          </rPr>
          <t>How would you rate your current knowledge or skill on this competency? </t>
        </r>
        <r>
          <rPr>
            <sz val="9"/>
            <color indexed="81"/>
            <rFont val="Tahoma"/>
            <family val="2"/>
          </rPr>
          <t xml:space="preserve">
</t>
        </r>
      </text>
    </comment>
    <comment ref="E6" authorId="0" shapeId="0" xr:uid="{34975873-8502-4331-9252-8DE2F02F1FDE}">
      <text>
        <r>
          <rPr>
            <b/>
            <sz val="9"/>
            <color indexed="81"/>
            <rFont val="Tahoma"/>
            <family val="2"/>
          </rPr>
          <t>Is this competency essential to your current job responsibilities?</t>
        </r>
        <r>
          <rPr>
            <sz val="9"/>
            <color indexed="81"/>
            <rFont val="Tahoma"/>
            <family val="2"/>
          </rPr>
          <t xml:space="preserve">
</t>
        </r>
      </text>
    </comment>
    <comment ref="F6" authorId="0" shapeId="0" xr:uid="{10C98ED6-8BD2-4C29-9720-F085B100E1D9}">
      <text>
        <r>
          <rPr>
            <sz val="9"/>
            <color indexed="81"/>
            <rFont val="Tahoma"/>
            <family val="2"/>
          </rPr>
          <t xml:space="preserve">If Min comp or Comp on "Rate": </t>
        </r>
        <r>
          <rPr>
            <b/>
            <sz val="9"/>
            <color indexed="81"/>
            <rFont val="Tahoma"/>
            <family val="2"/>
          </rPr>
          <t xml:space="preserve">
Would you like to acquire or improve this competency?</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Cat Hall</author>
  </authors>
  <commentList>
    <comment ref="D6" authorId="0" shapeId="0" xr:uid="{61B015BD-7011-4E65-BDE1-8C7B299639BA}">
      <text>
        <r>
          <rPr>
            <b/>
            <sz val="9"/>
            <color indexed="81"/>
            <rFont val="Tahoma"/>
            <family val="2"/>
          </rPr>
          <t>How would you rate your current knowledge or skill on this competency? </t>
        </r>
        <r>
          <rPr>
            <sz val="9"/>
            <color indexed="81"/>
            <rFont val="Tahoma"/>
            <family val="2"/>
          </rPr>
          <t xml:space="preserve">
</t>
        </r>
      </text>
    </comment>
    <comment ref="E6" authorId="0" shapeId="0" xr:uid="{8D4A1143-C83D-4B65-B4E3-DF3ECCD63C94}">
      <text>
        <r>
          <rPr>
            <b/>
            <sz val="9"/>
            <color indexed="81"/>
            <rFont val="Tahoma"/>
            <family val="2"/>
          </rPr>
          <t>Is this competency essential to your current job responsibilities?</t>
        </r>
        <r>
          <rPr>
            <sz val="9"/>
            <color indexed="81"/>
            <rFont val="Tahoma"/>
            <family val="2"/>
          </rPr>
          <t xml:space="preserve">
</t>
        </r>
      </text>
    </comment>
    <comment ref="F6" authorId="0" shapeId="0" xr:uid="{336205E2-A958-400B-8E5A-9088B93A1616}">
      <text>
        <r>
          <rPr>
            <sz val="9"/>
            <color indexed="81"/>
            <rFont val="Tahoma"/>
            <family val="2"/>
          </rPr>
          <t xml:space="preserve">If Min comp or Comp on "Rate": </t>
        </r>
        <r>
          <rPr>
            <b/>
            <sz val="9"/>
            <color indexed="81"/>
            <rFont val="Tahoma"/>
            <family val="2"/>
          </rPr>
          <t xml:space="preserve">
Would you like to acquire or improve this competency?</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Cat Hall</author>
  </authors>
  <commentList>
    <comment ref="D6" authorId="0" shapeId="0" xr:uid="{90AA3DFF-B638-4337-95FD-571EE17DE22A}">
      <text>
        <r>
          <rPr>
            <b/>
            <sz val="9"/>
            <color indexed="81"/>
            <rFont val="Tahoma"/>
            <family val="2"/>
          </rPr>
          <t>How would you rate your current knowledge or skill on this competency? </t>
        </r>
        <r>
          <rPr>
            <sz val="9"/>
            <color indexed="81"/>
            <rFont val="Tahoma"/>
            <family val="2"/>
          </rPr>
          <t xml:space="preserve">
</t>
        </r>
      </text>
    </comment>
    <comment ref="E6" authorId="0" shapeId="0" xr:uid="{39F06418-DF1A-485B-B025-2FC12FCB71AE}">
      <text>
        <r>
          <rPr>
            <b/>
            <sz val="9"/>
            <color indexed="81"/>
            <rFont val="Tahoma"/>
            <family val="2"/>
          </rPr>
          <t>Is this competency essential to your current job responsibilities?</t>
        </r>
        <r>
          <rPr>
            <sz val="9"/>
            <color indexed="81"/>
            <rFont val="Tahoma"/>
            <family val="2"/>
          </rPr>
          <t xml:space="preserve">
</t>
        </r>
      </text>
    </comment>
    <comment ref="F6" authorId="0" shapeId="0" xr:uid="{C263C10D-3235-41B3-B80B-3F10B1A487BE}">
      <text>
        <r>
          <rPr>
            <sz val="9"/>
            <color indexed="81"/>
            <rFont val="Tahoma"/>
            <family val="2"/>
          </rPr>
          <t xml:space="preserve">If Min comp or Comp on "Rate": </t>
        </r>
        <r>
          <rPr>
            <b/>
            <sz val="9"/>
            <color indexed="81"/>
            <rFont val="Tahoma"/>
            <family val="2"/>
          </rPr>
          <t xml:space="preserve">
Would you like to acquire or improve this competency?</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Cat Hall</author>
  </authors>
  <commentList>
    <comment ref="B51" authorId="0" shapeId="0" xr:uid="{7A943E83-3AB1-4EDB-8592-BFCAA67CB598}">
      <text>
        <r>
          <rPr>
            <b/>
            <sz val="9"/>
            <color indexed="81"/>
            <rFont val="Tahoma"/>
            <family val="2"/>
          </rPr>
          <t>From Overview:</t>
        </r>
        <r>
          <rPr>
            <sz val="9"/>
            <color indexed="81"/>
            <rFont val="Tahoma"/>
            <family val="2"/>
          </rPr>
          <t xml:space="preserve">
This corrects for user leaving cell blank on Overview of data entered worksheet.</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<sst xmlns="http://schemas.openxmlformats.org/spreadsheetml/2006/main" count="2863" uniqueCount="276">
  <si>
    <t>Competency Num</t>
  </si>
  <si>
    <t>Competencies</t>
  </si>
  <si>
    <t>FD-1</t>
  </si>
  <si>
    <t>Demonstrates basic data literacy skills.</t>
  </si>
  <si>
    <t>?</t>
  </si>
  <si>
    <t>FD-2</t>
  </si>
  <si>
    <t>Demonstrates understanding of 616 Annual Performance Report (APR) and 618 data collection and reporting requirements.</t>
  </si>
  <si>
    <t>y</t>
  </si>
  <si>
    <t>FD-3</t>
  </si>
  <si>
    <t>Is knowledgeable about relevant policies such as the Individuals with Disabilities Education Act (IDEA), Family Educational Rights and Privacy Act (FERPA), Health Insurance Portability and Accountability Act (HIPAA), and state regulations that address the privacy and security of Part C/Part B 619 data/records.</t>
  </si>
  <si>
    <t>FD-4</t>
  </si>
  <si>
    <t>Is knowledgeable about the various aspects of data quality such as: accuracy, completeness, timeliness, and the processes that are needed to ensure high-quality data statewide.</t>
  </si>
  <si>
    <t>FD-5</t>
  </si>
  <si>
    <t>Is knowledgeable about various methods for collecting data, including quantitative and qualitative methods, when to use various methods, and the advantages and limitations of such methods with different groups of respondents.</t>
  </si>
  <si>
    <t>n</t>
  </si>
  <si>
    <t>FD-6</t>
  </si>
  <si>
    <t>Is knowledgeable about data analysis and presentation methods, their strengths and limitations, and their use in developing data products to meet the needs of intended users.</t>
  </si>
  <si>
    <t>FD-7</t>
  </si>
  <si>
    <t>Is knowledgeable of policies and procedures required for the governance and management of Part C/Part B 619 data, including those related to the quality and integrity of the data, and the security of and access to those data.</t>
  </si>
  <si>
    <t>FD-8</t>
  </si>
  <si>
    <t>Is knowledgeable about the processes involved in designing evaluations, including developing evaluation questions, logic models, and short-term and long-term outcomes; and identifying appropriate measurement strategies.</t>
  </si>
  <si>
    <t>FD-9</t>
  </si>
  <si>
    <t>Demonstrates the ability to assess data knowledge and skills of state team members and stakeholders.</t>
  </si>
  <si>
    <t>FD-10</t>
  </si>
  <si>
    <t>Demonstrates the ability to provide opportunities for state team members, local program staff, and (other) stakeholders to learn data knowledge and skills essential to their respective roles (e.g., data collection, reporting requirements, data literacy).</t>
  </si>
  <si>
    <t>IN-1</t>
  </si>
  <si>
    <t>Demonstrates the ability to establish policies and procedures to ensure that all data processes, communications, products, reports, and other data-specific state resources are compliant with federal and state regulations.</t>
  </si>
  <si>
    <t>IN-2</t>
  </si>
  <si>
    <t>Demonstrates the ability to establish policies and procedures that address the quality and integrity of Part C/Part B 619 data.</t>
  </si>
  <si>
    <t>IN-3</t>
  </si>
  <si>
    <t>Demonstrates the ability to establish policies and procedures that address the security of and access to Part C/ Part B 619 data.</t>
  </si>
  <si>
    <t>IN-4</t>
  </si>
  <si>
    <t>Demonstrates the ability to identify staff needs for access to data consistent with their roles and responsibilities and ensures that access.</t>
  </si>
  <si>
    <t>IN-5</t>
  </si>
  <si>
    <t>Demonstrates the ability to delineate appropriate roles and responsibilities for decisionmaking authority, accountability, and management related to collection, analysis, use, and dissemination of Part C/ Part B 619 data.</t>
  </si>
  <si>
    <t>IN-6</t>
  </si>
  <si>
    <t>Demonstrates the ability to explain key components and features of the data systems, including strengths and limitations.</t>
  </si>
  <si>
    <t>IN-7</t>
  </si>
  <si>
    <t>Demonstrates the ability to manage a data system to collect programmatic information from multiple sources for federal and state reporting and system management.</t>
  </si>
  <si>
    <t>IN-8</t>
  </si>
  <si>
    <t>Demonstrates the skills necessary to secure and manage the human and fiscal resources for the development, maintenance, and enhancement of the data system.</t>
  </si>
  <si>
    <t>IN-9</t>
  </si>
  <si>
    <t>Demonstrates knowledge of changing federal and state policies and requirements, programmatic and user needs, and technology to identify and prioritize data system enhancements.</t>
  </si>
  <si>
    <t>IN-10</t>
  </si>
  <si>
    <t>Is knowledgeable about the processes involved in developing and enhancing database applications.</t>
  </si>
  <si>
    <t>IN-11</t>
  </si>
  <si>
    <t>Demonstrates the ability to lead a process for the development of a new data system or major enhancement.</t>
  </si>
  <si>
    <t>IN-12</t>
  </si>
  <si>
    <t>Demonstrates ability to elicit and process stakeholder input about state data system(s)/applications and communicate that input to the technical team.</t>
  </si>
  <si>
    <t>IN-13</t>
  </si>
  <si>
    <t>Demonstrates ability to effectively identify and communicate programmatic data needs to the technical team responsible for developing/enhancing the data system.</t>
  </si>
  <si>
    <t>DC-1</t>
  </si>
  <si>
    <t>Demonstrates the ability to articulate a vision across the program on the value and potential of its data.</t>
  </si>
  <si>
    <t>DC-2</t>
  </si>
  <si>
    <t>Demonstrates the ability to analyze and use data to develop the state performance plan and annual performance report (SPP/APR).</t>
  </si>
  <si>
    <t>DC-3</t>
  </si>
  <si>
    <t>Demonstrates understanding of how to use data for accountability, program operations, and program improvement.</t>
  </si>
  <si>
    <t>DC-4</t>
  </si>
  <si>
    <t>Demonstrates the ability to establish a data culture through norms and expectations for the ongoing use of data.</t>
  </si>
  <si>
    <t>DC-5</t>
  </si>
  <si>
    <t>Demonstrates ability to implement an approach to data-based decision-making (e.g., Plan-Do-Study-Act).</t>
  </si>
  <si>
    <t>DC-6</t>
  </si>
  <si>
    <t>Demonstrates ability to lead team members and stakeholders in discussions about the interpretation of program data (e.g., 616, 618, other) and development of action steps in response to what was learned from the analysis.</t>
  </si>
  <si>
    <t>DC-7</t>
  </si>
  <si>
    <t>Demonstrates the ability to make effective and timely decisions based on available data even when those data are limited and infer the implications of those decisions.</t>
  </si>
  <si>
    <t>DC-8</t>
  </si>
  <si>
    <t>Demonstrates the ability to use data to ensure the provision of services and supports, and positive outcomes for all children with developmental delays and disabilities and their families.</t>
  </si>
  <si>
    <t>DC-9</t>
  </si>
  <si>
    <t>Demonstrates the ability to use fiscal data to address the current and future needs of the program e.g., budget development, utilization and allocation of funding sources, and fiscal monitoring.</t>
  </si>
  <si>
    <t>DC-10</t>
  </si>
  <si>
    <t>Demonstrates the ability to use workforce data to inform the development and maintenance of a comprehensive system of personnel development.</t>
  </si>
  <si>
    <t>DC-11</t>
  </si>
  <si>
    <t>Demonstrates the ability to effectively communicate data to policymakers, OSEP, the general public, and other stakeholders through presentations, websites, reports, etc.</t>
  </si>
  <si>
    <t>DC-12</t>
  </si>
  <si>
    <t>Demonstrates the ability to support local programs and districts to build a culture of data use.</t>
  </si>
  <si>
    <t>DC-13</t>
  </si>
  <si>
    <t>Demonstrates the ability to manage an evaluation and to actively participate in all phases of the evaluation from the design through the development of a report and presentations of findings.</t>
  </si>
  <si>
    <t>Count of Ratings</t>
  </si>
  <si>
    <t>ALL COMPETENCIES (36)</t>
  </si>
  <si>
    <t>All Ratings</t>
  </si>
  <si>
    <t xml:space="preserve">Essential Only </t>
  </si>
  <si>
    <t>FD Competencies (10)</t>
  </si>
  <si>
    <t>IN Competencies (13)</t>
  </si>
  <si>
    <t>DC Competencies (13)</t>
  </si>
  <si>
    <t>Rate</t>
  </si>
  <si>
    <t>Essential</t>
  </si>
  <si>
    <t>Improve</t>
  </si>
  <si>
    <t>Hi comp</t>
  </si>
  <si>
    <t>Comp</t>
  </si>
  <si>
    <t>Min comp</t>
  </si>
  <si>
    <t>Component</t>
  </si>
  <si>
    <t>FD</t>
  </si>
  <si>
    <t>IN</t>
  </si>
  <si>
    <t>DC</t>
  </si>
  <si>
    <t>Index</t>
  </si>
  <si>
    <t>Notes</t>
  </si>
  <si>
    <t>Learning Plan 8</t>
  </si>
  <si>
    <t xml:space="preserve">Date Learning Plan Reviewed: </t>
  </si>
  <si>
    <t>Comp Num</t>
  </si>
  <si>
    <t>Priority for next 3 months?</t>
  </si>
  <si>
    <t>How will you acquire this competency?</t>
  </si>
  <si>
    <t>By what date will you acquire this competency?</t>
  </si>
  <si>
    <t>Learning Plan</t>
  </si>
  <si>
    <t>Enter Data 1</t>
  </si>
  <si>
    <t>Learning Plan 1</t>
  </si>
  <si>
    <t xml:space="preserve">Date of Self Assessment: </t>
  </si>
  <si>
    <t xml:space="preserve">Enter Your Name: </t>
  </si>
  <si>
    <t>Updated:</t>
  </si>
  <si>
    <t>Data</t>
  </si>
  <si>
    <t>Instructions: From the Individual workbook, copy columns [A:E] of the worksheet "For_Team_Workbook" and paste values only in columns [A:E] in the Team workbook for Team Member (TM_#).</t>
  </si>
  <si>
    <t>Learning Plan 2</t>
  </si>
  <si>
    <t>Enter Data 2</t>
  </si>
  <si>
    <t>This worksheet contains two (2) data-entry tables, 3 cells to enter your name [G3], the self-assessment date [G4], and the learning plan review date [N4]. For the data entry tables, 1: The EnterData table [A6:G42] allows you to enter a self-assessment Rating in cells D7:D42, your indication of Essential in cells E7:E42, your indication of Improve in cells F7:F42, and any self-assessment notes in G7:G42. You can use the filters at the top of each column, including the Index column [A], the Competency Number [B], the Competencies [C], or any of the data entry columns [D:G]. 2: The Learning Plan table [J6:N42] associated with this round of self-assessment lists out the competencies for which you indicated Improve = Yes (in columns J and K) and allows you to enter a Priority for Next 3 Months [L7:L42], How You Will Acquire [M7:M42], and by what data [N7:N42].  Finally, in cells C44:F62 are somesummary tables of counts of numbers of ratings in each level of competency.</t>
  </si>
  <si>
    <t>This worksheet contains two (2) data-entry tables, 2 cells to enter the self-assessment date [G4], and the learning plan review date [N4]. For the data entry tables, 1: The EnterData table [A6:G42] allows you to enter a self-assessment Rating in cells D7:D42, your indication of Essential in cells E7:E42, your indication of Improve in cells F7:F42, and any self-assessment notes in G7:G42. You can use the filters at the top of each column, including the Index column [A], the Competency Number [B], the Competencies [C], or any of the data entry columns [D:G]. 2: The Learning Plan table [J6:N42] associated with this round of self-assessment lists out the competencies for which you indicated Improve = Yes (in columns J and K) and allows you to enter a Priority for Next 3 Months [L7:L42], How You Will Acquire [M7:M42], and by what data [N7:N42].  Finally, in cells C44:F62 are somesummary tables of counts of numbers of ratings in each level of competency.</t>
  </si>
  <si>
    <t>Learning Plan 7</t>
  </si>
  <si>
    <t>Learning Plan 6</t>
  </si>
  <si>
    <t>Learning Plan 5</t>
  </si>
  <si>
    <t>Learning Plan 4</t>
  </si>
  <si>
    <t>Learning Plan 3</t>
  </si>
  <si>
    <t>Enter Data 8</t>
  </si>
  <si>
    <t>Enter Data 7</t>
  </si>
  <si>
    <t>Enter Data 6</t>
  </si>
  <si>
    <t>Enter Data 5</t>
  </si>
  <si>
    <t>Enter Data 4</t>
  </si>
  <si>
    <t>Enter Data 3</t>
  </si>
  <si>
    <t>Minimum competency  [Min comp]</t>
  </si>
  <si>
    <t>Competency  [Comp]</t>
  </si>
  <si>
    <t>High Competency  [Hi comp]</t>
  </si>
  <si>
    <t xml:space="preserve">Select All or Essential Only: </t>
  </si>
  <si>
    <t>Competencies Marked for Improvement</t>
  </si>
  <si>
    <t xml:space="preserve">
</t>
  </si>
  <si>
    <t xml:space="preserve">
</t>
  </si>
  <si>
    <t>To learn more about the DaSy Center, visit the DaSy Center website at http://www.dasycenter.org/</t>
  </si>
  <si>
    <t xml:space="preserve">
</t>
  </si>
  <si>
    <t>An individual can use the self-assessment to guide their own professional development as a data leader. The individual’s self-assessment results can be combined with the results from other individuals who make up the state’s data team to create a team profile. More information about using the individual self-assessment and the Team Profile Tool can be found in Guidance for Using the Data Leadership Competencies Self-Assessment and Team Profile Tool.</t>
  </si>
  <si>
    <t xml:space="preserve">
</t>
  </si>
  <si>
    <t xml:space="preserve">Printing Your Completed Self-Assessment </t>
  </si>
  <si>
    <t xml:space="preserve">Saving Your Completed Self-Assessment </t>
  </si>
  <si>
    <t xml:space="preserve">Entering Data </t>
  </si>
  <si>
    <t>No </t>
  </si>
  <si>
    <t>Yes </t>
  </si>
  <si>
    <t>Meaning</t>
  </si>
  <si>
    <t>Option</t>
  </si>
  <si>
    <t>I am not sure </t>
  </si>
  <si>
    <t>2. Is this competency essential to your current job responsibilities? </t>
  </si>
  <si>
    <t>Highly competent </t>
  </si>
  <si>
    <t>Competent with room to grow </t>
  </si>
  <si>
    <t>Not yet or minimally competent  </t>
  </si>
  <si>
    <t>1. How would you rate your current knowledge or skill on this competency? </t>
  </si>
  <si>
    <t>Three tables in this worksheet provide explanations for the codes used in the Enter Data worksheet. "Rate" is explained in cells [A3:B8], "Essential" is explained in cells [A10:B15], and "Improve" is explained in cells [A17:B21].</t>
  </si>
  <si>
    <t>end of worksheet</t>
  </si>
  <si>
    <t>3. (if Min comp or Comp on "Rate"): Would you like to acquire or improve this competency?</t>
  </si>
  <si>
    <t>Counts</t>
  </si>
  <si>
    <t>COMPLETE?</t>
  </si>
  <si>
    <t>SA1</t>
  </si>
  <si>
    <t>SA2</t>
  </si>
  <si>
    <t>SA3</t>
  </si>
  <si>
    <t>SA4</t>
  </si>
  <si>
    <t>SA5</t>
  </si>
  <si>
    <t>SA6</t>
  </si>
  <si>
    <t>SA7</t>
  </si>
  <si>
    <t>SA8</t>
  </si>
  <si>
    <t>Competency</t>
  </si>
  <si>
    <t>SA 1</t>
  </si>
  <si>
    <t>SA 2</t>
  </si>
  <si>
    <t>SA 3</t>
  </si>
  <si>
    <t>SA 4</t>
  </si>
  <si>
    <t>SA 5</t>
  </si>
  <si>
    <t>SA 6</t>
  </si>
  <si>
    <t>SA 7</t>
  </si>
  <si>
    <t>SA 8</t>
  </si>
  <si>
    <t>Has Data?</t>
  </si>
  <si>
    <t>Include?</t>
  </si>
  <si>
    <t>Date</t>
  </si>
  <si>
    <t>Summary of Ratings Entered Across All Self-Assessments</t>
  </si>
  <si>
    <t>Data Entered for Each Competency Across All Self-Assessments</t>
  </si>
  <si>
    <t>This worksheet contains three (3) main sections that summarize data entered on the SA1-SA8 worksheets. (1) The first section contains all the counts of Ratings across all Self-Assessments. In cell A5, select to view All Ratings or Essential Only and the tables in [A8:I11], [A13:I16], [A18:I21], and [A23:I26] populate with counts of each Rating for each competency category and overall. (2) The second section, in columns K:R, contains lists of Competencies Marked for Improvement. The first Self-Assessment's competencies are shown in [K8:K44, or as many rows as needed], the next Self-Assessment in [L8:L44*]. (3) The third section is a presentation of all data entered for each competency for each self-assessment.  You can select to include Ratings (yes/no in cell V5), Essential (yes/no in cell W5), and Improve (yes/no in cell X5).  The table is constructed from those selections and spans from T7 through AP44 (with fewer columns, as needed).</t>
  </si>
  <si>
    <t>This feeds columns A:I of the Overview tab.  It's condensed version of each tab's data, selected for ALL or ESSENTIAL</t>
  </si>
  <si>
    <t>Creation of the IMPROVE lists used in Overview tab, columns K:R.</t>
  </si>
  <si>
    <t>A3:I8 calculate if each SA is complete based on needing a DATE, all the RATINGS, all the ESSENTIALS, and all applicable IMPROVES.  If not all data is entered, then the Learning Plan should not generate as a safeguard for data completeness.</t>
  </si>
  <si>
    <t>In Overview T:AP, you can customize which variables you want to show across all 8 Self-Assessments.  This chart shows ALL the data, along with…</t>
  </si>
  <si>
    <t>Calculations in N6:AK9 help determine which columns to show.  MUST have DATE (see B4:I4) and metric selected (N7:AK7) and have data.</t>
  </si>
  <si>
    <t xml:space="preserve">This is the quick chart that ends up appearing in the Overview starting in V7.  Probably redundant to include here, but made it easier to program. </t>
  </si>
  <si>
    <t>Then the Overview tab for this section just had to bother with all the conditional formatting.</t>
  </si>
  <si>
    <t>Complete Sas</t>
  </si>
  <si>
    <t>Sample Data</t>
  </si>
  <si>
    <t/>
  </si>
  <si>
    <t>Min Comp</t>
  </si>
  <si>
    <t>N</t>
  </si>
  <si>
    <t>Y</t>
  </si>
  <si>
    <t>Yes</t>
  </si>
  <si>
    <r>
      <t xml:space="preserve">Minimally competent </t>
    </r>
    <r>
      <rPr>
        <b/>
        <sz val="11"/>
        <color theme="1"/>
        <rFont val="Aptos Narrow"/>
        <family val="2"/>
        <scheme val="minor"/>
      </rPr>
      <t xml:space="preserve"> [Min comp]</t>
    </r>
  </si>
  <si>
    <t>Minimally competent  [Min comp]</t>
  </si>
  <si>
    <r>
      <t xml:space="preserve">Competent </t>
    </r>
    <r>
      <rPr>
        <b/>
        <sz val="11"/>
        <color theme="1"/>
        <rFont val="Aptos Narrow"/>
        <family val="2"/>
        <scheme val="minor"/>
      </rPr>
      <t>[Comp]</t>
    </r>
  </si>
  <si>
    <t>Competent [Comp]</t>
  </si>
  <si>
    <r>
      <t xml:space="preserve">Highly competent  </t>
    </r>
    <r>
      <rPr>
        <b/>
        <sz val="11"/>
        <color theme="1"/>
        <rFont val="Aptos Narrow"/>
        <family val="2"/>
        <scheme val="minor"/>
      </rPr>
      <t>[Hi comp]</t>
    </r>
  </si>
  <si>
    <t>Highly competent  [Hi comp]</t>
  </si>
  <si>
    <t xml:space="preserve">
</t>
  </si>
  <si>
    <t>The contents of this resource were developed under a grant from the U.S. Department of Education, #H373Z240001. The contents and resources do not necessarily represent the policy of the U.S. Department of Education, and you should not assume endorsement by the Federal Government. Project Officers: Meredith Miceli and Alexis Lessans.
The DaSy Center is a national technical assistance center funded by the U.S. Department of Education, Office of Special Education Programs. The DaSy Center works with states to support IDEA early intervention and early childhood special education state programs in the development or enhancement of coordinated early childhood longitudinal data systems.</t>
  </si>
  <si>
    <t xml:space="preserve">The Data Leadership Competencies Self-Assessment is tool that allows an individual to rate their current level of knowledge or skill in each competency, indicate whether the competency is essential for an individual’s current job responsibilities, and, for any competency in which the individual does not deem themselves to be highly competent, indicate whether this is an area in which they would like to improve. The tool also allows the individual to create a Learning Plan for each of the competencies in which they would like to improve. </t>
  </si>
  <si>
    <t>Codes</t>
  </si>
  <si>
    <t>Read these instructions completely before beginning your self-assessment. </t>
  </si>
  <si>
    <t>Completing your first self-assessment</t>
  </si>
  <si>
    <t>•  Information – Provides basic information about the tool.</t>
  </si>
  <si>
    <t>•  Codes – Reference worksheet for the option choices in SA1 to SA8</t>
  </si>
  <si>
    <t>•  SA1 (Self Assessment 1) to SA8 – Use these worksheets to complete your self-assessment for the first, second, third time and so on.</t>
  </si>
  <si>
    <t>•  For Team Workbook – Ignore this worksheet. The information is used by the Team Profile Tool to compile information across team members.</t>
  </si>
  <si>
    <t>You can only enter information in yellow cells. The locations (e.g., cell D7) of these cells are specified in each worksheet in cell A1.</t>
  </si>
  <si>
    <t>The Header</t>
  </si>
  <si>
    <t xml:space="preserve">•  Enter your name. (Cell G3). This is how your name will be displayed in the Team Profile. Your first name and last initial are probably sufficient. </t>
  </si>
  <si>
    <t>•  Enter the date of the assessment (Cell G4)</t>
  </si>
  <si>
    <t>Competency Ratings</t>
  </si>
  <si>
    <t xml:space="preserve">•  Enter your rating by typing into the cell or using the dropdown feature contained within each cell to select your rating.  </t>
  </si>
  <si>
    <t>•  The “Codes” worksheet (a dark burgundy tab) contains the rating scale for the competencies.</t>
  </si>
  <si>
    <t>o  Min comp = Not yet or minimally competent
o  Comp = Competent with room to grow
o  Hi Comp = Highly competent.</t>
  </si>
  <si>
    <t>•  Reflect on your current level of knowledge or skill for each competency and enter your rating using this scale:</t>
  </si>
  <si>
    <t xml:space="preserve">•  Indicate whether the competency is essential to your current job responsibilities by using the dropdown feature or entering Y, N, or ? for “don’t know.”  </t>
  </si>
  <si>
    <t>•  If you don’t know, check with your supervisor or team lead to see if the competencies essential to your role have already been determined.</t>
  </si>
  <si>
    <t>•  The Codes worksheet (a dark burgundy tab) contains the response choices for “Essential.”</t>
  </si>
  <si>
    <t>•  The Codes worksheet (a dark burgundy tab) contains the response choices for “Improve."</t>
  </si>
  <si>
    <t>•  Indicate whether gaining knowledge or improving skill on the competency is a professional priority for you (Y or N).</t>
  </si>
  <si>
    <t>•  If you rated yourself as “highly competent,” the Improve cell for that competency does not require that you enter a value for “Improve" (and the cell will be gray) but you can still indicate Y if you want to further improve in that competency.</t>
  </si>
  <si>
    <t>•  Use the optional Notes column to capture anything you want to remember about your reasoning for your responses or any other thoughts related to the competency.</t>
  </si>
  <si>
    <t>Review your entries for completeness. Each cell in D7:F42 (shown on worksheets with a light yellow background) should contain data except for any cells in the “Improve” column where the competency has a rating of “Highly competent.” As explained under Improve, you may opt to enter a Y in those cells.</t>
  </si>
  <si>
    <t xml:space="preserve">Your information is summarized for all competencies and by competency component (Foundational, Infrastructure, and Building a Culture of Data Use) in rows 44 to 62.  Each of the summary sections contains totals for the rating options (Minimally competency, Competent, Highly competent) for all competencies and for only the competencies you marked as essential.  </t>
  </si>
  <si>
    <t xml:space="preserve">The Self-Assessment Tool is an Excel workbook and needs to be saved just like any other workbook. We recommend saving the file with your initials and the date your self-assessment was completed in the file name, e.g., DLC_Self-Asmnt_DM_11-19-26.  </t>
  </si>
  <si>
    <t xml:space="preserve">If your team will be using the Team Profile tool, be sure to add your initials to the file name so your self-assessment can be efficiently merged with self-assessments completed by others on your team. </t>
  </si>
  <si>
    <t xml:space="preserve">Each worksheet in the workbook has an existing default print area set up. The print areas may be redefined or resized using the Print Area option in Excel’s Page Layout if desired.   </t>
  </si>
  <si>
    <t>Completing Subsequent Self-Assessments</t>
  </si>
  <si>
    <t>If you are using the self-assessment as an individual and not with a team, repeat the assessment every 6 to 12 months. Consider those competencies where you intended to grow to see if you have acquired new knowledge or skill.  Reflect on any new skills you have acquired that you did not mark as growth areas. Identify and celebrate your successes, identify new priority growth areas, and keep learning.</t>
  </si>
  <si>
    <t xml:space="preserve">•  To complete your second self-assessment, click on worksheet SA 2 and repeat the process for the first self-assessment. </t>
  </si>
  <si>
    <t>•  Use worksheets SA3 and beyond for subsequent self-assessments.</t>
  </si>
  <si>
    <t>–  The new file will contain your results from all previous self-assessments and previous Learning Plans.</t>
  </si>
  <si>
    <t xml:space="preserve">•  Save the file with a new date in the file name when you complete another round of assessment. (e.g., DLC Self-Asmnt_DM_5-8-26). </t>
  </si>
  <si>
    <t>•  The competencies marked as essential on your most recent previous self-assessment will be automatically marked as essential on your next self-assessment. You can change these values if they are no longer accurate.</t>
  </si>
  <si>
    <t>Overview of Data Entered</t>
  </si>
  <si>
    <r>
      <t>Select the</t>
    </r>
    <r>
      <rPr>
        <b/>
        <sz val="11"/>
        <color theme="1"/>
        <rFont val="Arial"/>
        <family val="2"/>
      </rPr>
      <t xml:space="preserve"> SA1</t>
    </r>
    <r>
      <rPr>
        <sz val="11"/>
        <color theme="1"/>
        <rFont val="Arial"/>
        <family val="2"/>
      </rPr>
      <t xml:space="preserve"> worksheet to begin. This worksheet is divided into four main sections: </t>
    </r>
  </si>
  <si>
    <r>
      <rPr>
        <b/>
        <sz val="11"/>
        <color theme="1"/>
        <rFont val="Arial"/>
        <family val="2"/>
      </rPr>
      <t xml:space="preserve">Rate </t>
    </r>
    <r>
      <rPr>
        <sz val="11"/>
        <color theme="1"/>
        <rFont val="Arial"/>
        <family val="2"/>
      </rPr>
      <t>(cells D6:D42)</t>
    </r>
  </si>
  <si>
    <r>
      <rPr>
        <b/>
        <sz val="11"/>
        <color theme="1"/>
        <rFont val="Arial"/>
        <family val="2"/>
      </rPr>
      <t>Essential</t>
    </r>
    <r>
      <rPr>
        <sz val="11"/>
        <color theme="1"/>
        <rFont val="Arial"/>
        <family val="2"/>
      </rPr>
      <t xml:space="preserve"> (cells E6:E42)</t>
    </r>
  </si>
  <si>
    <r>
      <rPr>
        <b/>
        <sz val="11"/>
        <color theme="1"/>
        <rFont val="Arial"/>
        <family val="2"/>
      </rPr>
      <t>Improve</t>
    </r>
    <r>
      <rPr>
        <sz val="11"/>
        <color theme="1"/>
        <rFont val="Arial"/>
        <family val="2"/>
      </rPr>
      <t xml:space="preserve"> (cells F6:F42)</t>
    </r>
  </si>
  <si>
    <r>
      <t>Notes</t>
    </r>
    <r>
      <rPr>
        <sz val="11"/>
        <color theme="1"/>
        <rFont val="Arial"/>
        <family val="2"/>
      </rPr>
      <t xml:space="preserve"> (cells G6:G42)</t>
    </r>
  </si>
  <si>
    <r>
      <t>A Learning Plan:</t>
    </r>
    <r>
      <rPr>
        <sz val="11"/>
        <color theme="1"/>
        <rFont val="Arial"/>
        <family val="2"/>
      </rPr>
      <t xml:space="preserve"> (cells J6:N42)</t>
    </r>
  </si>
  <si>
    <t xml:space="preserve">o  If your self-assessment will be entered into the Team Profile Tool, do not complete your Learning Plan until after the team discussion as some of your ratings may change based on that discussion. </t>
  </si>
  <si>
    <t xml:space="preserve">•  Any competency marked with a Y in Improve will automatically appear in your Learning Plan.  </t>
  </si>
  <si>
    <t xml:space="preserve">•  The Learning Plan is based on your responses to Rate, Essential and Improve and will update if you change a rating that impacts the learning plan.  </t>
  </si>
  <si>
    <t>o  Note: If you complete the information for a competency in the Learning Plan and then subsequently change your Y to an N under Improve, that competency will be deleted but the information in the Learning Plan for that competency will still be there but aligned with the wrong competency. We strongly recommend you do not complete the three columns in the Learning Plan until you have finalized your ratings.</t>
  </si>
  <si>
    <r>
      <t>Assessment Summary</t>
    </r>
    <r>
      <rPr>
        <sz val="11"/>
        <color theme="1"/>
        <rFont val="Arial"/>
        <family val="2"/>
      </rPr>
      <t xml:space="preserve"> (cells C44:F62)</t>
    </r>
  </si>
  <si>
    <r>
      <t>Summary of Ratings Entered Across All Self Assessments</t>
    </r>
    <r>
      <rPr>
        <sz val="11"/>
        <color theme="1"/>
        <rFont val="Arial"/>
        <family val="2"/>
      </rPr>
      <t xml:space="preserve"> (columns A through I)</t>
    </r>
  </si>
  <si>
    <t>•  Shows total number of ratings by Minimally competent, Competent, Highly Competent by type of competency and across all competencies</t>
  </si>
  <si>
    <t>•  Lists the numbers (and colors) of each of the competencies marked with a Y for improvement.</t>
  </si>
  <si>
    <t>•  Instructions – Contains information about how to use the workbook to enter data and view results.</t>
  </si>
  <si>
    <t>•  The toggle in Cell A5 allows you to change the values included in the summary. “All” shows all data entered; “Essential Only” shows only competencies you rated as Essential = Y in each self- assessment.</t>
  </si>
  <si>
    <t>Content in this worksheet: instructions for how to use this workbook. Only column A is used in this workbook.</t>
  </si>
  <si>
    <t xml:space="preserve">
</t>
  </si>
  <si>
    <t xml:space="preserve">There are 14 worksheets in this workbook: </t>
  </si>
  <si>
    <t>•  Data Summary - Provides a summary comparison of the results of each of your completed self-assessments and the competencies marked for improvement.</t>
  </si>
  <si>
    <t>•  Overview of Data Entered – Shows the data entered for each self-assessment</t>
  </si>
  <si>
    <t xml:space="preserve">    1.  Header: Rows 1-5
    2.  Competency Ratings: Cells [A6:G42]
    3.  Learning Plan: Cells [J6:N42]
    4.  Assessment Summary: Cells [C44:F62]</t>
  </si>
  <si>
    <r>
      <t xml:space="preserve">•  </t>
    </r>
    <r>
      <rPr>
        <b/>
        <sz val="11"/>
        <color theme="1"/>
        <rFont val="Arial"/>
        <family val="2"/>
      </rPr>
      <t>Priority for the next 3 months?</t>
    </r>
    <r>
      <rPr>
        <sz val="11"/>
        <color theme="1"/>
        <rFont val="Arial"/>
        <family val="2"/>
      </rPr>
      <t xml:space="preserve"> (col l): Select Yes or No from the dropdown list or type in the word. to indicate whether improving in this competency is a priority for you in the next 3 months.</t>
    </r>
  </si>
  <si>
    <r>
      <t xml:space="preserve">•  </t>
    </r>
    <r>
      <rPr>
        <b/>
        <sz val="11"/>
        <color theme="1"/>
        <rFont val="Arial"/>
        <family val="2"/>
      </rPr>
      <t>How will you acquire this competency?</t>
    </r>
    <r>
      <rPr>
        <sz val="11"/>
        <color theme="1"/>
        <rFont val="Arial"/>
        <family val="2"/>
      </rPr>
      <t>: Enter the steps you will take to build your skills in this competency. </t>
    </r>
  </si>
  <si>
    <r>
      <t xml:space="preserve"> •  </t>
    </r>
    <r>
      <rPr>
        <b/>
        <sz val="11"/>
        <color theme="1"/>
        <rFont val="Arial"/>
        <family val="2"/>
      </rPr>
      <t>By this date</t>
    </r>
    <r>
      <rPr>
        <sz val="11"/>
        <color theme="1"/>
        <rFont val="Arial"/>
        <family val="2"/>
      </rPr>
      <t xml:space="preserve">: Indicate the date by when you will complete the identified steps toward improvement.   </t>
    </r>
  </si>
  <si>
    <t>Data Summary</t>
  </si>
  <si>
    <t>This worksheet provides a summary comparison of the results of each of your self assessments.</t>
  </si>
  <si>
    <r>
      <t xml:space="preserve">Competencies Marked for Improvement </t>
    </r>
    <r>
      <rPr>
        <sz val="11"/>
        <color theme="1"/>
        <rFont val="Arial"/>
        <family val="2"/>
      </rPr>
      <t>(columns K through R)</t>
    </r>
  </si>
  <si>
    <t>This worksheet shows the data entered for each self-assessment.</t>
  </si>
  <si>
    <t>Data Leadership Competencies Self-Assessment  |  Instructions</t>
  </si>
  <si>
    <t>Data Leadership Competencies Self-Assessment | Information</t>
  </si>
  <si>
    <t>•  Toggle “Yes” or “No” in cells C5, D5, and E5 to indicate which columns of data you would like to display.</t>
  </si>
  <si>
    <t>•  Selecting “No” for Essential and Improve will provide a concise comparison of how your mastery of the competencies has changed over time.</t>
  </si>
  <si>
    <t>Columns list competencies marked for improvement, one Self-Assessment per column.</t>
  </si>
  <si>
    <t xml:space="preserve">This worksheet contains two (2) main sections that summarize data entered on the SA1-SA8 worksheets. (1) The first section contains all the counts of Ratings across all Self-Assessments. In cell A4, select to view All Ratings or Essential Only and the tables in [A7:I10], [A12:I14], [A17:I20], and [A22:I25] populate with counts of each Rating for each competency category and overall. (2) The second section, in columns K:R, contains lists of Competencies Marked for Improvement. The first Self-Assessment's competencies are shown in [K7:K43], (or as many rows as needed), the next Self-Assessment in [L7:L43], and so on. </t>
  </si>
  <si>
    <r>
      <rPr>
        <b/>
        <sz val="11"/>
        <color theme="0"/>
        <rFont val="Aptos Narrow"/>
        <family val="2"/>
        <scheme val="minor"/>
      </rPr>
      <t>____________</t>
    </r>
    <r>
      <rPr>
        <b/>
        <sz val="11"/>
        <color rgb="FF002060"/>
        <rFont val="Aptos Narrow"/>
        <family val="2"/>
        <scheme val="minor"/>
      </rPr>
      <t xml:space="preserve">Select Yes or No to include each metric in summary chart: </t>
    </r>
  </si>
  <si>
    <t>Data Manager</t>
  </si>
  <si>
    <t>No</t>
  </si>
  <si>
    <t>v6.9</t>
  </si>
  <si>
    <t>Published: 07-29-2026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</si>
</sst>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409]m/d/yy\ h:mm\ AM/PM;@"/>
  </numFmts>
  <fonts count="49" x14ac:knownFonts="1">
    <font>
      <sz val="11"/>
      <color theme="1"/>
      <name val="Aptos Narrow"/>
      <family val="2"/>
      <scheme val="minor"/>
    </font>
    <font>
      <b/>
      <sz val="13"/>
      <color theme="3"/>
      <name val="Aptos Narrow"/>
      <family val="2"/>
      <scheme val="minor"/>
    </font>
    <font>
      <b/>
      <sz val="11"/>
      <color theme="3"/>
      <name val="Aptos Narrow"/>
      <family val="2"/>
      <scheme val="minor"/>
    </font>
    <font>
      <b/>
      <sz val="11"/>
      <color theme="1"/>
      <name val="Aptos Narrow"/>
      <family val="2"/>
      <scheme val="minor"/>
    </font>
    <font>
      <b/>
      <sz val="14"/>
      <color rgb="FF0000CC"/>
      <name val="Aptos Narrow"/>
      <family val="2"/>
      <scheme val="minor"/>
    </font>
    <font>
      <sz val="5"/>
      <color theme="1"/>
      <name val="Aptos Narrow"/>
      <family val="2"/>
      <scheme val="minor"/>
    </font>
    <font>
      <sz val="11"/>
      <color rgb="FF0000CC"/>
      <name val="Aptos Narrow"/>
      <family val="2"/>
      <scheme val="minor"/>
    </font>
    <font>
      <sz val="11"/>
      <color theme="0" tint="-4.9989318521683403E-2"/>
      <name val="Aptos Narrow"/>
      <family val="2"/>
      <scheme val="minor"/>
    </font>
    <font>
      <b/>
      <sz val="16"/>
      <color theme="1"/>
      <name val="Arial"/>
      <family val="2"/>
    </font>
    <font>
      <sz val="16"/>
      <color theme="1"/>
      <name val="Arial"/>
      <family val="2"/>
    </font>
    <font>
      <i/>
      <sz val="12"/>
      <color rgb="FF800000"/>
      <name val="Arial"/>
      <family val="2"/>
    </font>
    <font>
      <b/>
      <sz val="11"/>
      <color theme="3" tint="0.249977111117893"/>
      <name val="Aptos Narrow"/>
      <family val="2"/>
      <scheme val="minor"/>
    </font>
    <font>
      <b/>
      <sz val="12"/>
      <color rgb="FF0000CC"/>
      <name val="Aptos Narrow"/>
      <family val="2"/>
      <scheme val="minor"/>
    </font>
    <font>
      <b/>
      <sz val="14"/>
      <color theme="1"/>
      <name val="Arial"/>
      <family val="2"/>
    </font>
    <font>
      <b/>
      <sz val="11"/>
      <color theme="1"/>
      <name val="Arial"/>
      <family val="2"/>
    </font>
    <font>
      <sz val="8"/>
      <name val="Aptos Narrow"/>
      <family val="2"/>
      <scheme val="minor"/>
    </font>
    <font>
      <i/>
      <sz val="11"/>
      <color rgb="FF800000"/>
      <name val="Aptos Narrow"/>
      <family val="2"/>
      <scheme val="minor"/>
    </font>
    <font>
      <b/>
      <sz val="9"/>
      <color indexed="81"/>
      <name val="Tahoma"/>
      <family val="2"/>
    </font>
    <font>
      <sz val="9"/>
      <color indexed="81"/>
      <name val="Tahoma"/>
      <family val="2"/>
    </font>
    <font>
      <sz val="11"/>
      <color rgb="FF0000CC"/>
      <name val="Arial"/>
      <family val="2"/>
    </font>
    <font>
      <sz val="11"/>
      <color theme="1"/>
      <name val="Arial"/>
      <family val="2"/>
    </font>
    <font>
      <b/>
      <sz val="10"/>
      <color theme="1"/>
      <name val="Arial"/>
      <family val="2"/>
    </font>
    <font>
      <b/>
      <i/>
      <sz val="11"/>
      <color rgb="FF800000"/>
      <name val="Arial"/>
      <family val="2"/>
    </font>
    <font>
      <i/>
      <sz val="11"/>
      <color indexed="56"/>
      <name val="Arial"/>
      <family val="2"/>
    </font>
    <font>
      <i/>
      <sz val="11"/>
      <color rgb="FF002060"/>
      <name val="Arial"/>
      <family val="2"/>
    </font>
    <font>
      <i/>
      <sz val="11"/>
      <color rgb="FF002060"/>
      <name val="Aptos Narrow"/>
      <family val="2"/>
      <scheme val="minor"/>
    </font>
    <font>
      <b/>
      <sz val="11"/>
      <color rgb="FF802275"/>
      <name val="Aptos Narrow"/>
      <family val="2"/>
      <scheme val="minor"/>
    </font>
    <font>
      <sz val="12"/>
      <color theme="1"/>
      <name val="Aptos Narrow"/>
      <family val="2"/>
      <scheme val="minor"/>
    </font>
    <font>
      <i/>
      <sz val="11"/>
      <color theme="1" tint="0.34998626667073579"/>
      <name val="Arial"/>
      <family val="2"/>
    </font>
    <font>
      <sz val="12"/>
      <color theme="1"/>
      <name val="Arial"/>
      <family val="2"/>
    </font>
    <font>
      <sz val="10"/>
      <color theme="1"/>
      <name val="Arial"/>
      <family val="2"/>
    </font>
    <font>
      <i/>
      <sz val="11"/>
      <color theme="1"/>
      <name val="Arial"/>
      <family val="2"/>
    </font>
    <font>
      <sz val="11"/>
      <name val="Calibri"/>
      <family val="2"/>
    </font>
    <font>
      <b/>
      <sz val="11"/>
      <name val="Calibri"/>
      <family val="2"/>
    </font>
    <font>
      <b/>
      <sz val="16"/>
      <color theme="1"/>
      <name val="Aptos Narrow"/>
      <family val="2"/>
      <scheme val="minor"/>
    </font>
    <font>
      <i/>
      <sz val="9"/>
      <color theme="1" tint="0.249977111117893"/>
      <name val="Arial"/>
      <family val="2"/>
    </font>
    <font>
      <b/>
      <i/>
      <sz val="11"/>
      <color rgb="FF800000"/>
      <name val="Aptos Narrow"/>
      <family val="2"/>
      <scheme val="minor"/>
    </font>
    <font>
      <b/>
      <sz val="11"/>
      <color rgb="FF9900CC"/>
      <name val="Aptos Narrow"/>
      <family val="2"/>
      <scheme val="minor"/>
    </font>
    <font>
      <b/>
      <sz val="14"/>
      <color theme="1"/>
      <name val="Aptos Narrow"/>
      <family val="2"/>
      <scheme val="minor"/>
    </font>
    <font>
      <i/>
      <sz val="11"/>
      <color theme="1"/>
      <name val="Aptos Narrow"/>
      <family val="2"/>
      <scheme val="minor"/>
    </font>
    <font>
      <sz val="8"/>
      <color theme="1"/>
      <name val="Aptos Narrow"/>
      <family val="2"/>
      <scheme val="minor"/>
    </font>
    <font>
      <i/>
      <sz val="8"/>
      <color rgb="FF002060"/>
      <name val="Aptos Narrow"/>
      <family val="2"/>
      <scheme val="minor"/>
    </font>
    <font>
      <sz val="11"/>
      <color rgb="FF002060"/>
      <name val="Aptos Narrow"/>
      <family val="2"/>
      <scheme val="minor"/>
    </font>
    <font>
      <b/>
      <sz val="11"/>
      <color rgb="FF002060"/>
      <name val="Aptos Narrow"/>
      <family val="2"/>
      <scheme val="minor"/>
    </font>
    <font>
      <i/>
      <sz val="11"/>
      <color rgb="FF9900CC"/>
      <name val="Aptos Narrow"/>
      <family val="2"/>
      <scheme val="minor"/>
    </font>
    <font>
      <i/>
      <sz val="11"/>
      <color indexed="8"/>
      <name val="Aptos Narrow"/>
      <family val="2"/>
      <scheme val="minor"/>
    </font>
    <font>
      <sz val="11"/>
      <color rgb="FF800000"/>
      <name val="Aptos Narrow"/>
      <family val="2"/>
      <scheme val="minor"/>
    </font>
    <font>
      <sz val="11"/>
      <color rgb="FFED3532"/>
      <name val="Arial"/>
      <family val="2"/>
    </font>
    <font>
      <b/>
      <sz val="11"/>
      <color theme="0"/>
      <name val="Aptos Narrow"/>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rgb="FFDAEAF8"/>
        <bgColor indexed="64"/>
      </patternFill>
    </fill>
    <fill>
      <patternFill patternType="solid">
        <fgColor rgb="FFFFFFCC"/>
        <bgColor indexed="64"/>
      </patternFill>
    </fill>
    <fill>
      <patternFill patternType="solid">
        <fgColor rgb="FFC3D79B"/>
        <bgColor indexed="64"/>
      </patternFill>
    </fill>
    <fill>
      <patternFill patternType="solid">
        <fgColor rgb="FFCDACE6"/>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70">
    <border>
      <left/>
      <right/>
      <top/>
      <bottom/>
      <diagonal/>
    </border>
    <border>
      <left/>
      <right/>
      <top/>
      <bottom style="thick">
        <color theme="4" tint="0.499984740745262"/>
      </bottom>
      <diagonal/>
    </border>
    <border>
      <left/>
      <right/>
      <top/>
      <bottom style="medium">
        <color theme="4" tint="0.39997558519241921"/>
      </bottom>
      <diagonal/>
    </border>
    <border>
      <left style="thin">
        <color indexed="64"/>
      </left>
      <right style="hair">
        <color indexed="64"/>
      </right>
      <top style="thin">
        <color auto="1"/>
      </top>
      <bottom/>
      <diagonal/>
    </border>
    <border>
      <left style="hair">
        <color auto="1"/>
      </left>
      <right/>
      <top style="thin">
        <color auto="1"/>
      </top>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auto="1"/>
      </left>
      <right/>
      <top style="hair">
        <color auto="1"/>
      </top>
      <bottom style="thin">
        <color indexed="64"/>
      </bottom>
      <diagonal/>
    </border>
    <border>
      <left style="hair">
        <color auto="1"/>
      </left>
      <right style="hair">
        <color auto="1"/>
      </right>
      <top style="hair">
        <color auto="1"/>
      </top>
      <bottom style="thin">
        <color auto="1"/>
      </bottom>
      <diagonal/>
    </border>
    <border>
      <left style="thin">
        <color indexed="64"/>
      </left>
      <right/>
      <top style="thin">
        <color indexed="64"/>
      </top>
      <bottom/>
      <diagonal/>
    </border>
    <border>
      <left style="hair">
        <color auto="1"/>
      </left>
      <right style="thin">
        <color indexed="64"/>
      </right>
      <top style="thin">
        <color auto="1"/>
      </top>
      <bottom/>
      <diagonal/>
    </border>
    <border>
      <left style="hair">
        <color indexed="64"/>
      </left>
      <right style="thin">
        <color indexed="64"/>
      </right>
      <top style="thin">
        <color indexed="64"/>
      </top>
      <bottom style="hair">
        <color indexed="64"/>
      </bottom>
      <diagonal/>
    </border>
    <border>
      <left style="hair">
        <color auto="1"/>
      </left>
      <right style="thin">
        <color indexed="64"/>
      </right>
      <top style="hair">
        <color auto="1"/>
      </top>
      <bottom style="hair">
        <color auto="1"/>
      </bottom>
      <diagonal/>
    </border>
    <border>
      <left style="hair">
        <color auto="1"/>
      </left>
      <right style="thin">
        <color indexed="64"/>
      </right>
      <top style="hair">
        <color auto="1"/>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bottom style="thin">
        <color auto="1"/>
      </bottom>
      <diagonal/>
    </border>
    <border>
      <left/>
      <right style="thin">
        <color indexed="64"/>
      </right>
      <top/>
      <bottom/>
      <diagonal/>
    </border>
    <border>
      <left style="hair">
        <color auto="1"/>
      </left>
      <right style="thin">
        <color indexed="64"/>
      </right>
      <top style="hair">
        <color auto="1"/>
      </top>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diagonal/>
    </border>
    <border>
      <left style="hair">
        <color auto="1"/>
      </left>
      <right/>
      <top style="hair">
        <color auto="1"/>
      </top>
      <bottom/>
      <diagonal/>
    </border>
    <border>
      <left style="thin">
        <color indexed="64"/>
      </left>
      <right style="hair">
        <color indexed="64"/>
      </right>
      <top style="hair">
        <color indexed="64"/>
      </top>
      <bottom/>
      <diagonal/>
    </border>
    <border>
      <left style="hair">
        <color auto="1"/>
      </left>
      <right style="hair">
        <color auto="1"/>
      </right>
      <top style="hair">
        <color auto="1"/>
      </top>
      <bottom/>
      <diagonal/>
    </border>
    <border>
      <left/>
      <right style="thin">
        <color indexed="64"/>
      </right>
      <top style="thin">
        <color auto="1"/>
      </top>
      <bottom/>
      <diagonal/>
    </border>
    <border>
      <left style="thin">
        <color indexed="64"/>
      </left>
      <right style="hair">
        <color indexed="64"/>
      </right>
      <top/>
      <bottom style="thin">
        <color auto="1"/>
      </bottom>
      <diagonal/>
    </border>
    <border>
      <left/>
      <right/>
      <top/>
      <bottom style="medium">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thin">
        <color indexed="64"/>
      </left>
      <right style="thin">
        <color indexed="64"/>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auto="1"/>
      </bottom>
      <diagonal/>
    </border>
    <border>
      <left style="hair">
        <color indexed="64"/>
      </left>
      <right style="hair">
        <color indexed="64"/>
      </right>
      <top style="thin">
        <color indexed="64"/>
      </top>
      <bottom style="hair">
        <color indexed="64"/>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bottom style="thick">
        <color rgb="FFED3532"/>
      </bottom>
      <diagonal/>
    </border>
    <border>
      <left/>
      <right/>
      <top/>
      <bottom style="medium">
        <color rgb="FF39B54A"/>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hair">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hair">
        <color indexed="64"/>
      </bottom>
      <diagonal/>
    </border>
    <border>
      <left/>
      <right/>
      <top/>
      <bottom style="medium">
        <color rgb="FFFF0000"/>
      </bottom>
      <diagonal/>
    </border>
    <border>
      <left/>
      <right/>
      <top style="mediumDashDot">
        <color auto="1"/>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auto="1"/>
      </bottom>
      <diagonal/>
    </border>
  </borders>
  <cellStyleXfs count="3">
    <xf numFmtId="0" fontId="0" fillId="0" borderId="0"/>
    <xf numFmtId="0" fontId="1" fillId="0" borderId="1" applyNumberFormat="0" applyFill="0" applyAlignment="0" applyProtection="0"/>
    <xf numFmtId="0" fontId="2" fillId="0" borderId="2" applyNumberFormat="0" applyFill="0" applyAlignment="0" applyProtection="0"/>
  </cellStyleXfs>
  <cellXfs count="398">
    <xf numFmtId="0" fontId="0" fillId="0" borderId="0" xfId="0"/>
    <xf numFmtId="0" fontId="0" fillId="3" borderId="6" xfId="0" applyFill="1" applyBorder="1" applyAlignment="1">
      <alignment horizontal="center" vertical="center"/>
    </xf>
    <xf numFmtId="0" fontId="4" fillId="4" borderId="9" xfId="0" applyFont="1" applyFill="1" applyBorder="1" applyAlignment="1" applyProtection="1">
      <alignment horizontal="center" vertical="center"/>
      <protection locked="0"/>
    </xf>
    <xf numFmtId="0" fontId="0" fillId="3" borderId="10" xfId="0" applyFill="1" applyBorder="1" applyAlignment="1">
      <alignment horizontal="center" vertical="center"/>
    </xf>
    <xf numFmtId="0" fontId="0" fillId="0" borderId="11" xfId="0" applyBorder="1" applyAlignment="1">
      <alignment horizontal="left" vertical="center" wrapText="1"/>
    </xf>
    <xf numFmtId="0" fontId="4" fillId="4" borderId="12" xfId="0" applyFont="1" applyFill="1" applyBorder="1" applyAlignment="1" applyProtection="1">
      <alignment horizontal="center" vertical="center"/>
      <protection locked="0"/>
    </xf>
    <xf numFmtId="0" fontId="0" fillId="5" borderId="10" xfId="0" applyFill="1" applyBorder="1" applyAlignment="1">
      <alignment horizontal="center" vertical="center"/>
    </xf>
    <xf numFmtId="0" fontId="0" fillId="0" borderId="11" xfId="0" applyBorder="1" applyAlignment="1">
      <alignment vertical="center" wrapText="1"/>
    </xf>
    <xf numFmtId="0" fontId="0" fillId="6" borderId="10" xfId="0" applyFill="1" applyBorder="1" applyAlignment="1">
      <alignment horizontal="center" vertical="center"/>
    </xf>
    <xf numFmtId="0" fontId="0" fillId="6" borderId="13" xfId="0" applyFill="1" applyBorder="1" applyAlignment="1">
      <alignment horizontal="center" vertical="center"/>
    </xf>
    <xf numFmtId="0" fontId="5" fillId="2" borderId="0" xfId="0" applyFont="1" applyFill="1" applyAlignment="1">
      <alignment horizontal="center" vertical="center"/>
    </xf>
    <xf numFmtId="0" fontId="3" fillId="7" borderId="3" xfId="0" applyFont="1" applyFill="1"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2" borderId="0" xfId="0" applyFill="1" applyAlignment="1">
      <alignment horizontal="center" vertical="center"/>
    </xf>
    <xf numFmtId="0" fontId="3" fillId="3" borderId="3" xfId="0" applyFont="1" applyFill="1" applyBorder="1" applyAlignment="1">
      <alignment horizontal="center" vertical="center"/>
    </xf>
    <xf numFmtId="0" fontId="3" fillId="5" borderId="3" xfId="0" applyFont="1" applyFill="1" applyBorder="1" applyAlignment="1">
      <alignment horizontal="center" vertical="center"/>
    </xf>
    <xf numFmtId="0" fontId="3" fillId="6" borderId="21" xfId="0" applyFont="1" applyFill="1" applyBorder="1" applyAlignment="1">
      <alignment horizontal="center" vertical="center"/>
    </xf>
    <xf numFmtId="0" fontId="0" fillId="0" borderId="8" xfId="0" applyBorder="1" applyAlignment="1">
      <alignment horizontal="center" vertical="center"/>
    </xf>
    <xf numFmtId="0" fontId="0" fillId="2" borderId="0" xfId="0" applyFill="1" applyAlignment="1">
      <alignment vertical="center"/>
    </xf>
    <xf numFmtId="0" fontId="0" fillId="0" borderId="24" xfId="0" applyBorder="1" applyAlignment="1">
      <alignment horizontal="left" vertical="center" wrapText="1"/>
    </xf>
    <xf numFmtId="0" fontId="0" fillId="0" borderId="0" xfId="0" applyAlignment="1">
      <alignment wrapText="1"/>
    </xf>
    <xf numFmtId="0" fontId="7" fillId="2" borderId="29" xfId="0" applyFont="1" applyFill="1" applyBorder="1" applyAlignment="1">
      <alignment horizontal="center" vertical="center"/>
    </xf>
    <xf numFmtId="0" fontId="0" fillId="3" borderId="32" xfId="0" applyFill="1" applyBorder="1" applyAlignment="1">
      <alignment horizontal="center" vertical="center"/>
    </xf>
    <xf numFmtId="0" fontId="0" fillId="3" borderId="33" xfId="0" applyFill="1" applyBorder="1" applyAlignment="1">
      <alignment horizontal="center" vertical="center"/>
    </xf>
    <xf numFmtId="0" fontId="0" fillId="5" borderId="33" xfId="0" applyFill="1" applyBorder="1" applyAlignment="1">
      <alignment horizontal="center" vertical="center"/>
    </xf>
    <xf numFmtId="0" fontId="0" fillId="6" borderId="33" xfId="0" applyFill="1" applyBorder="1" applyAlignment="1">
      <alignment horizontal="center" vertical="center"/>
    </xf>
    <xf numFmtId="0" fontId="3" fillId="2" borderId="34" xfId="0" applyFont="1" applyFill="1" applyBorder="1" applyAlignment="1">
      <alignment horizontal="center" vertical="center" wrapText="1"/>
    </xf>
    <xf numFmtId="0" fontId="0" fillId="6" borderId="36" xfId="0" applyFill="1" applyBorder="1" applyAlignment="1">
      <alignment horizontal="center" vertical="center"/>
    </xf>
    <xf numFmtId="0" fontId="4" fillId="4" borderId="39" xfId="0" applyFont="1" applyFill="1" applyBorder="1" applyAlignment="1" applyProtection="1">
      <alignment horizontal="center" vertical="center"/>
      <protection locked="0"/>
    </xf>
    <xf numFmtId="0" fontId="8" fillId="0" borderId="42" xfId="0" applyFont="1" applyBorder="1" applyAlignment="1">
      <alignment vertical="center"/>
    </xf>
    <xf numFmtId="0" fontId="9" fillId="0" borderId="42" xfId="0" applyFont="1" applyBorder="1" applyAlignment="1">
      <alignment vertical="center" wrapText="1"/>
    </xf>
    <xf numFmtId="0" fontId="3" fillId="0" borderId="0" xfId="0" applyFont="1" applyAlignment="1">
      <alignment horizontal="right" vertical="center"/>
    </xf>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12" xfId="0" applyBorder="1"/>
    <xf numFmtId="0" fontId="0" fillId="0" borderId="19" xfId="0" applyBorder="1"/>
    <xf numFmtId="0" fontId="0" fillId="0" borderId="37" xfId="0" applyBorder="1" applyAlignment="1">
      <alignment horizontal="left" vertical="center" wrapText="1"/>
    </xf>
    <xf numFmtId="164" fontId="0" fillId="0" borderId="0" xfId="0" applyNumberFormat="1" applyAlignment="1">
      <alignment horizontal="center" vertical="center"/>
    </xf>
    <xf numFmtId="164" fontId="0" fillId="0" borderId="0" xfId="0" applyNumberFormat="1"/>
    <xf numFmtId="0" fontId="3" fillId="2" borderId="27" xfId="0" applyFont="1" applyFill="1" applyBorder="1" applyAlignment="1">
      <alignment horizontal="left" vertical="top" wrapText="1"/>
    </xf>
    <xf numFmtId="0" fontId="3" fillId="2" borderId="21" xfId="0" applyFont="1" applyFill="1" applyBorder="1" applyAlignment="1">
      <alignment horizontal="left" vertical="top" wrapText="1"/>
    </xf>
    <xf numFmtId="0" fontId="3" fillId="2" borderId="27" xfId="0" applyFont="1" applyFill="1" applyBorder="1" applyAlignment="1">
      <alignment vertical="top" wrapText="1"/>
    </xf>
    <xf numFmtId="0" fontId="3" fillId="2" borderId="27" xfId="0" applyFont="1" applyFill="1" applyBorder="1" applyAlignment="1">
      <alignment horizontal="center" vertical="top" wrapText="1"/>
    </xf>
    <xf numFmtId="0" fontId="3" fillId="2" borderId="27" xfId="0" applyFont="1" applyFill="1" applyBorder="1" applyAlignment="1">
      <alignment vertical="top"/>
    </xf>
    <xf numFmtId="0" fontId="3" fillId="2" borderId="22" xfId="0" applyFont="1" applyFill="1" applyBorder="1" applyAlignment="1">
      <alignment horizontal="left" vertical="top" wrapText="1"/>
    </xf>
    <xf numFmtId="0" fontId="5" fillId="2" borderId="0" xfId="0" applyFont="1" applyFill="1" applyAlignment="1">
      <alignment horizontal="center" vertical="center" wrapText="1"/>
    </xf>
    <xf numFmtId="0" fontId="4" fillId="4" borderId="46" xfId="0" applyFont="1" applyFill="1" applyBorder="1" applyAlignment="1" applyProtection="1">
      <alignment horizontal="center" vertical="center"/>
      <protection locked="0"/>
    </xf>
    <xf numFmtId="0" fontId="4" fillId="4" borderId="47" xfId="0" applyFont="1" applyFill="1" applyBorder="1" applyAlignment="1" applyProtection="1">
      <alignment horizontal="center" vertical="center"/>
      <protection locked="0"/>
    </xf>
    <xf numFmtId="0" fontId="4" fillId="4" borderId="48" xfId="0" applyFont="1" applyFill="1" applyBorder="1" applyAlignment="1" applyProtection="1">
      <alignment horizontal="center" vertical="center"/>
      <protection locked="0"/>
    </xf>
    <xf numFmtId="0" fontId="5" fillId="2" borderId="5" xfId="0" applyFont="1" applyFill="1" applyBorder="1" applyAlignment="1">
      <alignment horizontal="center" vertical="center" wrapText="1"/>
    </xf>
    <xf numFmtId="0" fontId="3" fillId="2" borderId="0" xfId="0" applyFont="1" applyFill="1" applyAlignment="1">
      <alignment horizontal="right" vertical="center"/>
    </xf>
    <xf numFmtId="0" fontId="12" fillId="4" borderId="8" xfId="0" applyFont="1" applyFill="1" applyBorder="1" applyAlignment="1" applyProtection="1">
      <alignment horizontal="center" vertical="center"/>
      <protection locked="0"/>
    </xf>
    <xf numFmtId="0" fontId="12" fillId="4" borderId="10" xfId="0" applyFont="1" applyFill="1" applyBorder="1" applyAlignment="1" applyProtection="1">
      <alignment horizontal="center" vertical="center"/>
      <protection locked="0"/>
    </xf>
    <xf numFmtId="0" fontId="12" fillId="4" borderId="38" xfId="0" applyFont="1" applyFill="1" applyBorder="1" applyAlignment="1" applyProtection="1">
      <alignment horizontal="center" vertical="center"/>
      <protection locked="0"/>
    </xf>
    <xf numFmtId="0" fontId="3" fillId="2" borderId="41" xfId="0" applyFont="1" applyFill="1" applyBorder="1" applyAlignment="1">
      <alignment horizontal="center" vertical="top" wrapText="1"/>
    </xf>
    <xf numFmtId="0" fontId="3" fillId="2" borderId="34" xfId="0" applyFont="1" applyFill="1" applyBorder="1" applyAlignment="1">
      <alignment vertical="top" wrapText="1"/>
    </xf>
    <xf numFmtId="0" fontId="3" fillId="2" borderId="34" xfId="0" applyFont="1" applyFill="1" applyBorder="1" applyAlignment="1">
      <alignment horizontal="center" vertical="top" wrapText="1"/>
    </xf>
    <xf numFmtId="164" fontId="3" fillId="2" borderId="35" xfId="0" applyNumberFormat="1" applyFont="1" applyFill="1" applyBorder="1" applyAlignment="1">
      <alignment horizontal="center" vertical="top" wrapText="1"/>
    </xf>
    <xf numFmtId="0" fontId="16" fillId="0" borderId="0" xfId="0" applyFont="1"/>
    <xf numFmtId="0" fontId="3" fillId="7" borderId="17" xfId="0" applyFont="1" applyFill="1" applyBorder="1" applyAlignment="1">
      <alignment horizontal="centerContinuous" vertical="center"/>
    </xf>
    <xf numFmtId="0" fontId="0" fillId="0" borderId="18" xfId="0" applyBorder="1" applyAlignment="1">
      <alignment horizontal="centerContinuous" vertical="center"/>
    </xf>
    <xf numFmtId="0" fontId="0" fillId="0" borderId="19" xfId="0" applyBorder="1" applyAlignment="1">
      <alignment horizontal="centerContinuous" vertical="center"/>
    </xf>
    <xf numFmtId="0" fontId="0" fillId="0" borderId="20" xfId="0" applyBorder="1" applyAlignment="1">
      <alignment horizontal="centerContinuous" vertical="center"/>
    </xf>
    <xf numFmtId="0" fontId="0" fillId="2" borderId="0" xfId="0" applyFill="1" applyAlignment="1">
      <alignment horizontal="centerContinuous" vertical="center"/>
    </xf>
    <xf numFmtId="0" fontId="3" fillId="3" borderId="17" xfId="0" applyFont="1" applyFill="1" applyBorder="1" applyAlignment="1">
      <alignment horizontal="centerContinuous" vertical="center"/>
    </xf>
    <xf numFmtId="0" fontId="3" fillId="5" borderId="17" xfId="0" applyFont="1" applyFill="1" applyBorder="1" applyAlignment="1">
      <alignment horizontal="centerContinuous" vertical="center"/>
    </xf>
    <xf numFmtId="0" fontId="3" fillId="6" borderId="22" xfId="0" applyFont="1" applyFill="1" applyBorder="1" applyAlignment="1">
      <alignment horizontal="centerContinuous" vertical="center"/>
    </xf>
    <xf numFmtId="0" fontId="0" fillId="0" borderId="23" xfId="0" applyBorder="1" applyAlignment="1">
      <alignment horizontal="centerContinuous" vertical="center"/>
    </xf>
    <xf numFmtId="0" fontId="3" fillId="7" borderId="3" xfId="0" applyFont="1" applyFill="1" applyBorder="1" applyAlignment="1">
      <alignment horizontal="right" vertical="center" wrapText="1" indent="1"/>
    </xf>
    <xf numFmtId="0" fontId="0" fillId="0" borderId="6" xfId="0" applyBorder="1" applyAlignment="1">
      <alignment horizontal="right" vertical="center" wrapText="1" indent="1"/>
    </xf>
    <xf numFmtId="0" fontId="0" fillId="0" borderId="10" xfId="0" applyBorder="1" applyAlignment="1">
      <alignment horizontal="right" vertical="center" wrapText="1" indent="1"/>
    </xf>
    <xf numFmtId="0" fontId="0" fillId="0" borderId="13" xfId="0" applyBorder="1" applyAlignment="1">
      <alignment horizontal="right" vertical="center" wrapText="1" indent="1"/>
    </xf>
    <xf numFmtId="0" fontId="0" fillId="2" borderId="0" xfId="0" applyFill="1" applyAlignment="1">
      <alignment horizontal="right" vertical="center" wrapText="1" indent="1"/>
    </xf>
    <xf numFmtId="0" fontId="3" fillId="3" borderId="21" xfId="0" applyFont="1" applyFill="1" applyBorder="1" applyAlignment="1">
      <alignment horizontal="right" vertical="center" wrapText="1" indent="1"/>
    </xf>
    <xf numFmtId="0" fontId="3" fillId="5" borderId="21" xfId="0" applyFont="1" applyFill="1" applyBorder="1" applyAlignment="1">
      <alignment horizontal="right" vertical="center" wrapText="1" indent="1"/>
    </xf>
    <xf numFmtId="0" fontId="3" fillId="6" borderId="21" xfId="0" applyFont="1" applyFill="1" applyBorder="1" applyAlignment="1">
      <alignment horizontal="right" vertical="center" wrapText="1" indent="1"/>
    </xf>
    <xf numFmtId="0" fontId="16" fillId="0" borderId="20" xfId="0" applyFont="1" applyBorder="1" applyAlignment="1">
      <alignment horizontal="center" vertical="center"/>
    </xf>
    <xf numFmtId="0" fontId="16" fillId="0" borderId="15" xfId="0" applyFont="1" applyBorder="1" applyAlignment="1">
      <alignment horizontal="center" vertical="center"/>
    </xf>
    <xf numFmtId="0" fontId="16" fillId="0" borderId="13" xfId="0" applyFont="1" applyBorder="1" applyAlignment="1">
      <alignment horizontal="center" vertical="center"/>
    </xf>
    <xf numFmtId="0" fontId="20" fillId="0" borderId="14" xfId="0" applyFont="1" applyBorder="1" applyAlignment="1">
      <alignment horizontal="left" vertical="center" wrapText="1"/>
    </xf>
    <xf numFmtId="0" fontId="20" fillId="6" borderId="13" xfId="0" applyFont="1" applyFill="1" applyBorder="1" applyAlignment="1">
      <alignment horizontal="center" vertical="center"/>
    </xf>
    <xf numFmtId="0" fontId="16" fillId="0" borderId="19" xfId="0" applyFont="1" applyBorder="1" applyAlignment="1">
      <alignment horizontal="center" vertical="center"/>
    </xf>
    <xf numFmtId="0" fontId="16" fillId="0" borderId="12" xfId="0" applyFont="1" applyBorder="1" applyAlignment="1">
      <alignment horizontal="center" vertical="center"/>
    </xf>
    <xf numFmtId="0" fontId="16" fillId="0" borderId="10" xfId="0" applyFont="1" applyBorder="1" applyAlignment="1">
      <alignment horizontal="center" vertical="center"/>
    </xf>
    <xf numFmtId="0" fontId="20" fillId="0" borderId="11" xfId="0" applyFont="1" applyBorder="1" applyAlignment="1">
      <alignment horizontal="left" vertical="center" wrapText="1"/>
    </xf>
    <xf numFmtId="0" fontId="20" fillId="6" borderId="10" xfId="0" applyFont="1" applyFill="1" applyBorder="1" applyAlignment="1">
      <alignment horizontal="center" vertical="center"/>
    </xf>
    <xf numFmtId="0" fontId="16" fillId="0" borderId="18" xfId="0" applyFont="1" applyBorder="1" applyAlignment="1">
      <alignment horizontal="center" vertical="center"/>
    </xf>
    <xf numFmtId="0" fontId="16" fillId="0" borderId="50" xfId="0" applyFont="1" applyBorder="1" applyAlignment="1">
      <alignment horizontal="center" vertical="center"/>
    </xf>
    <xf numFmtId="0" fontId="16" fillId="0" borderId="6" xfId="0" applyFont="1" applyBorder="1" applyAlignment="1">
      <alignment horizontal="center" vertical="center"/>
    </xf>
    <xf numFmtId="0" fontId="20" fillId="0" borderId="7" xfId="0" applyFont="1" applyBorder="1" applyAlignment="1">
      <alignment horizontal="left" vertical="center" wrapText="1"/>
    </xf>
    <xf numFmtId="0" fontId="20" fillId="6" borderId="6" xfId="0" applyFont="1" applyFill="1" applyBorder="1" applyAlignment="1">
      <alignment horizontal="center" vertical="center"/>
    </xf>
    <xf numFmtId="0" fontId="16" fillId="0" borderId="30" xfId="0" applyFont="1" applyBorder="1" applyAlignment="1">
      <alignment horizontal="center" vertical="center"/>
    </xf>
    <xf numFmtId="0" fontId="16" fillId="0" borderId="39" xfId="0" applyFont="1" applyBorder="1" applyAlignment="1">
      <alignment horizontal="center" vertical="center"/>
    </xf>
    <xf numFmtId="0" fontId="16" fillId="0" borderId="38" xfId="0" applyFont="1" applyBorder="1" applyAlignment="1">
      <alignment horizontal="center" vertical="center"/>
    </xf>
    <xf numFmtId="0" fontId="20" fillId="0" borderId="37" xfId="0" applyFont="1" applyBorder="1" applyAlignment="1">
      <alignment vertical="center" wrapText="1"/>
    </xf>
    <xf numFmtId="0" fontId="20" fillId="5" borderId="38" xfId="0" applyFont="1" applyFill="1" applyBorder="1" applyAlignment="1">
      <alignment horizontal="center" vertical="center"/>
    </xf>
    <xf numFmtId="0" fontId="20" fillId="0" borderId="11" xfId="0" applyFont="1" applyBorder="1" applyAlignment="1">
      <alignment vertical="center" wrapText="1"/>
    </xf>
    <xf numFmtId="0" fontId="20" fillId="5" borderId="10" xfId="0" applyFont="1" applyFill="1" applyBorder="1" applyAlignment="1">
      <alignment horizontal="center" vertical="center"/>
    </xf>
    <xf numFmtId="0" fontId="20" fillId="0" borderId="7" xfId="0" applyFont="1" applyBorder="1" applyAlignment="1">
      <alignment vertical="center" wrapText="1"/>
    </xf>
    <xf numFmtId="0" fontId="20" fillId="5" borderId="6" xfId="0" applyFont="1" applyFill="1" applyBorder="1" applyAlignment="1">
      <alignment horizontal="center" vertical="center"/>
    </xf>
    <xf numFmtId="0" fontId="20" fillId="0" borderId="37" xfId="0" applyFont="1" applyBorder="1" applyAlignment="1">
      <alignment horizontal="left" vertical="center" wrapText="1"/>
    </xf>
    <xf numFmtId="0" fontId="20" fillId="3" borderId="38" xfId="0" applyFont="1" applyFill="1" applyBorder="1" applyAlignment="1">
      <alignment horizontal="center" vertical="center"/>
    </xf>
    <xf numFmtId="0" fontId="20" fillId="3" borderId="10" xfId="0" applyFont="1" applyFill="1" applyBorder="1" applyAlignment="1">
      <alignment horizontal="center" vertical="center"/>
    </xf>
    <xf numFmtId="0" fontId="20" fillId="3" borderId="6" xfId="0" applyFont="1" applyFill="1" applyBorder="1" applyAlignment="1">
      <alignment horizontal="center" vertical="center"/>
    </xf>
    <xf numFmtId="0" fontId="21" fillId="2" borderId="17" xfId="0" applyFont="1" applyFill="1" applyBorder="1" applyAlignment="1">
      <alignment horizontal="center" vertical="center"/>
    </xf>
    <xf numFmtId="0" fontId="21" fillId="2" borderId="44" xfId="0" applyFont="1" applyFill="1" applyBorder="1" applyAlignment="1">
      <alignment horizontal="center" vertical="center"/>
    </xf>
    <xf numFmtId="0" fontId="21" fillId="2" borderId="3" xfId="0" applyFont="1" applyFill="1" applyBorder="1" applyAlignment="1">
      <alignment horizontal="center" vertical="center"/>
    </xf>
    <xf numFmtId="0" fontId="14" fillId="2" borderId="4" xfId="0" applyFont="1" applyFill="1" applyBorder="1" applyAlignment="1">
      <alignment vertical="center" wrapText="1"/>
    </xf>
    <xf numFmtId="0" fontId="14" fillId="2" borderId="44" xfId="0" applyFont="1" applyFill="1" applyBorder="1" applyAlignment="1">
      <alignment horizontal="center" vertical="center" wrapText="1"/>
    </xf>
    <xf numFmtId="0" fontId="14" fillId="2" borderId="40" xfId="0" applyFont="1" applyFill="1" applyBorder="1" applyAlignment="1">
      <alignment horizontal="centerContinuous" vertical="center"/>
    </xf>
    <xf numFmtId="0" fontId="14" fillId="2" borderId="5" xfId="0" applyFont="1" applyFill="1" applyBorder="1" applyAlignment="1">
      <alignment horizontal="centerContinuous" vertical="center"/>
    </xf>
    <xf numFmtId="0" fontId="22" fillId="2" borderId="16" xfId="0" applyFont="1" applyFill="1" applyBorder="1" applyAlignment="1">
      <alignment horizontal="centerContinuous" vertical="center"/>
    </xf>
    <xf numFmtId="165" fontId="23" fillId="0" borderId="0" xfId="0" applyNumberFormat="1" applyFont="1" applyAlignment="1">
      <alignment horizontal="left" vertical="center" wrapText="1"/>
    </xf>
    <xf numFmtId="0" fontId="24" fillId="0" borderId="0" xfId="0" applyFont="1" applyAlignment="1">
      <alignment vertical="center"/>
    </xf>
    <xf numFmtId="0" fontId="20" fillId="0" borderId="51" xfId="0" applyFont="1" applyBorder="1" applyAlignment="1">
      <alignment horizontal="center" vertical="center" wrapText="1"/>
    </xf>
    <xf numFmtId="0" fontId="25" fillId="0" borderId="0" xfId="0" applyFont="1"/>
    <xf numFmtId="0" fontId="16" fillId="0" borderId="46" xfId="0" applyFont="1" applyBorder="1" applyAlignment="1">
      <alignment horizontal="center" vertical="center"/>
    </xf>
    <xf numFmtId="14" fontId="22" fillId="2" borderId="16" xfId="0" applyNumberFormat="1" applyFont="1" applyFill="1" applyBorder="1" applyAlignment="1">
      <alignment horizontal="centerContinuous" vertical="center"/>
    </xf>
    <xf numFmtId="0" fontId="26" fillId="0" borderId="0" xfId="0" applyFont="1" applyAlignment="1">
      <alignment wrapText="1"/>
    </xf>
    <xf numFmtId="0" fontId="3" fillId="0" borderId="0" xfId="0" applyFont="1"/>
    <xf numFmtId="0" fontId="3" fillId="0" borderId="0" xfId="0" applyFont="1" applyAlignment="1">
      <alignment horizontal="center"/>
    </xf>
    <xf numFmtId="0" fontId="0" fillId="0" borderId="0" xfId="0" applyAlignment="1">
      <alignment horizontal="center"/>
    </xf>
    <xf numFmtId="0" fontId="27" fillId="0" borderId="0" xfId="0" applyFont="1"/>
    <xf numFmtId="0" fontId="28" fillId="0" borderId="0" xfId="0" applyFont="1"/>
    <xf numFmtId="0" fontId="29" fillId="0" borderId="0" xfId="0" applyFont="1"/>
    <xf numFmtId="0" fontId="29" fillId="0" borderId="0" xfId="0" applyFont="1" applyAlignment="1">
      <alignment wrapText="1"/>
    </xf>
    <xf numFmtId="0" fontId="30" fillId="0" borderId="0" xfId="0" applyFont="1" applyAlignment="1">
      <alignment horizontal="center" vertical="center" wrapText="1"/>
    </xf>
    <xf numFmtId="0" fontId="20" fillId="8" borderId="0" xfId="0" applyFont="1" applyFill="1" applyAlignment="1">
      <alignment horizontal="left" vertical="center" wrapText="1" indent="1"/>
    </xf>
    <xf numFmtId="0" fontId="13" fillId="0" borderId="0" xfId="0" applyFont="1"/>
    <xf numFmtId="0" fontId="13" fillId="0" borderId="55" xfId="1" applyFont="1" applyBorder="1" applyAlignment="1">
      <alignment horizontal="left" indent="1"/>
    </xf>
    <xf numFmtId="0" fontId="14" fillId="0" borderId="56" xfId="2" applyFont="1" applyBorder="1" applyAlignment="1">
      <alignment horizontal="left" wrapText="1" indent="1"/>
    </xf>
    <xf numFmtId="0" fontId="13" fillId="0" borderId="0" xfId="0" applyFont="1" applyAlignment="1">
      <alignment horizontal="left"/>
    </xf>
    <xf numFmtId="0" fontId="0" fillId="0" borderId="0" xfId="0" applyAlignment="1">
      <alignment horizontal="left" vertical="center" indent="1"/>
    </xf>
    <xf numFmtId="0" fontId="32" fillId="0" borderId="20" xfId="0" applyFont="1" applyBorder="1" applyAlignment="1">
      <alignment horizontal="left" vertical="center"/>
    </xf>
    <xf numFmtId="0" fontId="0" fillId="0" borderId="13" xfId="0" applyBorder="1" applyAlignment="1">
      <alignment horizontal="left" vertical="center" indent="2"/>
    </xf>
    <xf numFmtId="0" fontId="32" fillId="0" borderId="18" xfId="0" applyFont="1" applyBorder="1" applyAlignment="1">
      <alignment horizontal="left" vertical="center"/>
    </xf>
    <xf numFmtId="0" fontId="0" fillId="0" borderId="6" xfId="0" applyBorder="1" applyAlignment="1">
      <alignment horizontal="left" vertical="center" indent="2"/>
    </xf>
    <xf numFmtId="0" fontId="3" fillId="2" borderId="17" xfId="0" applyFont="1" applyFill="1" applyBorder="1" applyAlignment="1">
      <alignment vertical="center"/>
    </xf>
    <xf numFmtId="0" fontId="33" fillId="2" borderId="3" xfId="0" applyFont="1" applyFill="1" applyBorder="1" applyAlignment="1">
      <alignment horizontal="left" vertical="center" indent="1"/>
    </xf>
    <xf numFmtId="0" fontId="32" fillId="0" borderId="0" xfId="0" applyFont="1" applyAlignment="1">
      <alignment horizontal="left" vertical="center" indent="1"/>
    </xf>
    <xf numFmtId="0" fontId="0" fillId="0" borderId="28" xfId="0" applyBorder="1" applyAlignment="1">
      <alignment vertical="center"/>
    </xf>
    <xf numFmtId="0" fontId="33" fillId="0" borderId="28" xfId="0" applyFont="1" applyBorder="1" applyAlignment="1">
      <alignment horizontal="left" vertical="center" indent="1"/>
    </xf>
    <xf numFmtId="0" fontId="32" fillId="0" borderId="19" xfId="0" applyFont="1" applyBorder="1" applyAlignment="1">
      <alignment horizontal="left" vertical="center"/>
    </xf>
    <xf numFmtId="0" fontId="0" fillId="0" borderId="10" xfId="0" applyBorder="1" applyAlignment="1">
      <alignment horizontal="left" vertical="center" indent="2"/>
    </xf>
    <xf numFmtId="0" fontId="32" fillId="0" borderId="13" xfId="0" applyFont="1" applyBorder="1" applyAlignment="1">
      <alignment horizontal="left" vertical="center" indent="2"/>
    </xf>
    <xf numFmtId="0" fontId="32" fillId="0" borderId="10" xfId="0" applyFont="1" applyBorder="1" applyAlignment="1">
      <alignment horizontal="left" vertical="center" indent="2"/>
    </xf>
    <xf numFmtId="0" fontId="32" fillId="0" borderId="6" xfId="0" applyFont="1" applyBorder="1" applyAlignment="1">
      <alignment horizontal="left" vertical="center" indent="2"/>
    </xf>
    <xf numFmtId="0" fontId="3" fillId="0" borderId="28" xfId="0" applyFont="1" applyBorder="1" applyAlignment="1">
      <alignment horizontal="left" vertical="center" indent="1"/>
    </xf>
    <xf numFmtId="0" fontId="34" fillId="0" borderId="0" xfId="0" applyFont="1" applyAlignment="1">
      <alignment horizontal="left" vertical="center" indent="1"/>
    </xf>
    <xf numFmtId="0" fontId="35" fillId="0" borderId="0" xfId="0" applyFont="1" applyAlignment="1">
      <alignment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23" xfId="0" applyFont="1" applyBorder="1" applyAlignment="1">
      <alignment horizontal="center" vertical="center"/>
    </xf>
    <xf numFmtId="0" fontId="3" fillId="2" borderId="41"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16" fillId="0" borderId="10" xfId="0" applyFont="1" applyBorder="1" applyAlignment="1">
      <alignment vertical="center"/>
    </xf>
    <xf numFmtId="164" fontId="16" fillId="0" borderId="13" xfId="0" applyNumberFormat="1" applyFont="1" applyBorder="1" applyAlignment="1">
      <alignment vertical="center"/>
    </xf>
    <xf numFmtId="164" fontId="16" fillId="0" borderId="15" xfId="0" applyNumberFormat="1" applyFont="1" applyBorder="1" applyAlignment="1">
      <alignment vertical="center"/>
    </xf>
    <xf numFmtId="164" fontId="16" fillId="0" borderId="20" xfId="0" applyNumberFormat="1" applyFont="1" applyBorder="1" applyAlignment="1">
      <alignment vertical="center"/>
    </xf>
    <xf numFmtId="0" fontId="0" fillId="0" borderId="50" xfId="0" applyBorder="1"/>
    <xf numFmtId="0" fontId="0" fillId="0" borderId="18" xfId="0" applyBorder="1"/>
    <xf numFmtId="0" fontId="16" fillId="0" borderId="8" xfId="0" applyFont="1" applyBorder="1" applyAlignment="1">
      <alignment vertical="center"/>
    </xf>
    <xf numFmtId="0" fontId="16" fillId="0" borderId="9" xfId="0" applyFont="1" applyBorder="1" applyAlignment="1">
      <alignment vertical="center"/>
    </xf>
    <xf numFmtId="0" fontId="16" fillId="0" borderId="23" xfId="0" applyFont="1" applyBorder="1" applyAlignment="1">
      <alignment vertical="center"/>
    </xf>
    <xf numFmtId="0" fontId="0" fillId="0" borderId="46" xfId="0" applyBorder="1"/>
    <xf numFmtId="0" fontId="0" fillId="0" borderId="47" xfId="0" applyBorder="1"/>
    <xf numFmtId="0" fontId="0" fillId="0" borderId="9" xfId="0" applyBorder="1"/>
    <xf numFmtId="0" fontId="3" fillId="2" borderId="44" xfId="0" applyFont="1" applyFill="1" applyBorder="1" applyAlignment="1">
      <alignment horizontal="center"/>
    </xf>
    <xf numFmtId="0" fontId="3" fillId="2" borderId="17" xfId="0" applyFont="1" applyFill="1" applyBorder="1" applyAlignment="1">
      <alignment horizontal="center"/>
    </xf>
    <xf numFmtId="0" fontId="0" fillId="0" borderId="50" xfId="0" applyBorder="1" applyAlignment="1">
      <alignment horizontal="center" vertical="center"/>
    </xf>
    <xf numFmtId="0" fontId="0" fillId="0" borderId="18" xfId="0" applyBorder="1" applyAlignment="1">
      <alignment horizontal="center" vertical="center"/>
    </xf>
    <xf numFmtId="0" fontId="0" fillId="0" borderId="12" xfId="0"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3" fillId="3" borderId="44" xfId="0" applyFont="1" applyFill="1" applyBorder="1" applyAlignment="1">
      <alignment horizontal="center" vertical="center"/>
    </xf>
    <xf numFmtId="0" fontId="3" fillId="3" borderId="17" xfId="0" applyFont="1" applyFill="1" applyBorder="1" applyAlignment="1">
      <alignment horizontal="center" vertical="center"/>
    </xf>
    <xf numFmtId="0" fontId="0" fillId="0" borderId="9" xfId="0" applyBorder="1" applyAlignment="1">
      <alignment horizontal="center" vertical="center"/>
    </xf>
    <xf numFmtId="0" fontId="0" fillId="0" borderId="23" xfId="0" applyBorder="1" applyAlignment="1">
      <alignment horizontal="center" vertical="center"/>
    </xf>
    <xf numFmtId="0" fontId="3" fillId="5" borderId="21" xfId="0" applyFont="1" applyFill="1" applyBorder="1" applyAlignment="1">
      <alignment horizontal="center" vertical="center"/>
    </xf>
    <xf numFmtId="0" fontId="3" fillId="5" borderId="27" xfId="0" applyFont="1" applyFill="1" applyBorder="1" applyAlignment="1">
      <alignment horizontal="center" vertical="center"/>
    </xf>
    <xf numFmtId="0" fontId="3" fillId="5" borderId="22"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44" xfId="0" applyFont="1" applyFill="1" applyBorder="1" applyAlignment="1">
      <alignment horizontal="center" vertical="center"/>
    </xf>
    <xf numFmtId="0" fontId="3" fillId="6" borderId="17" xfId="0" applyFont="1" applyFill="1" applyBorder="1" applyAlignment="1">
      <alignment horizontal="center" vertical="center"/>
    </xf>
    <xf numFmtId="0" fontId="3" fillId="0" borderId="57" xfId="0" applyFont="1" applyBorder="1"/>
    <xf numFmtId="0" fontId="3" fillId="2" borderId="25" xfId="0" applyFont="1" applyFill="1" applyBorder="1" applyAlignment="1">
      <alignment horizontal="left" vertical="top"/>
    </xf>
    <xf numFmtId="0" fontId="0" fillId="3" borderId="58" xfId="0" applyFill="1" applyBorder="1" applyAlignment="1">
      <alignment horizontal="center" vertical="center"/>
    </xf>
    <xf numFmtId="0" fontId="0" fillId="3" borderId="53" xfId="0" applyFill="1" applyBorder="1" applyAlignment="1">
      <alignment horizontal="center" vertical="center"/>
    </xf>
    <xf numFmtId="0" fontId="0" fillId="3" borderId="59" xfId="0" applyFill="1" applyBorder="1" applyAlignment="1">
      <alignment horizontal="center" vertical="center"/>
    </xf>
    <xf numFmtId="0" fontId="0" fillId="0" borderId="6" xfId="0" applyBorder="1"/>
    <xf numFmtId="0" fontId="0" fillId="0" borderId="10" xfId="0" applyBorder="1"/>
    <xf numFmtId="0" fontId="0" fillId="0" borderId="13" xfId="0" applyBorder="1"/>
    <xf numFmtId="0" fontId="0" fillId="0" borderId="15" xfId="0" applyBorder="1"/>
    <xf numFmtId="0" fontId="0" fillId="0" borderId="20" xfId="0" applyBorder="1"/>
    <xf numFmtId="0" fontId="0" fillId="5" borderId="52" xfId="0" applyFill="1" applyBorder="1" applyAlignment="1">
      <alignment horizontal="center" vertical="center"/>
    </xf>
    <xf numFmtId="0" fontId="0" fillId="5" borderId="53" xfId="0" applyFill="1" applyBorder="1" applyAlignment="1">
      <alignment horizontal="center" vertical="center"/>
    </xf>
    <xf numFmtId="0" fontId="0" fillId="5" borderId="59" xfId="0" applyFill="1" applyBorder="1" applyAlignment="1">
      <alignment horizontal="center" vertical="center"/>
    </xf>
    <xf numFmtId="0" fontId="0" fillId="6" borderId="52" xfId="0" applyFill="1" applyBorder="1" applyAlignment="1">
      <alignment horizontal="center" vertical="center"/>
    </xf>
    <xf numFmtId="0" fontId="0" fillId="6" borderId="53" xfId="0" applyFill="1" applyBorder="1" applyAlignment="1">
      <alignment horizontal="center" vertical="center"/>
    </xf>
    <xf numFmtId="0" fontId="0" fillId="6" borderId="54" xfId="0" applyFill="1" applyBorder="1" applyAlignment="1">
      <alignment horizontal="center" vertical="center"/>
    </xf>
    <xf numFmtId="0" fontId="3" fillId="2" borderId="44" xfId="0" applyFont="1" applyFill="1" applyBorder="1" applyAlignment="1">
      <alignment horizontal="center" textRotation="90"/>
    </xf>
    <xf numFmtId="0" fontId="3" fillId="2" borderId="17" xfId="0" applyFont="1" applyFill="1" applyBorder="1" applyAlignment="1">
      <alignment horizontal="center" textRotation="90"/>
    </xf>
    <xf numFmtId="0" fontId="3" fillId="2" borderId="3" xfId="0" applyFont="1" applyFill="1" applyBorder="1" applyAlignment="1">
      <alignment horizontal="center" textRotation="90"/>
    </xf>
    <xf numFmtId="0" fontId="0" fillId="9" borderId="25" xfId="0" applyFill="1" applyBorder="1" applyAlignment="1">
      <alignment horizontal="centerContinuous"/>
    </xf>
    <xf numFmtId="0" fontId="0" fillId="9" borderId="61" xfId="0" applyFill="1" applyBorder="1" applyAlignment="1">
      <alignment horizontal="centerContinuous"/>
    </xf>
    <xf numFmtId="0" fontId="0" fillId="9" borderId="62" xfId="0" applyFill="1" applyBorder="1" applyAlignment="1">
      <alignment horizontal="centerContinuous"/>
    </xf>
    <xf numFmtId="164" fontId="3" fillId="0" borderId="0" xfId="0" applyNumberFormat="1" applyFont="1" applyAlignment="1">
      <alignment horizontal="right"/>
    </xf>
    <xf numFmtId="0" fontId="16" fillId="0" borderId="21" xfId="0" applyFont="1" applyBorder="1" applyAlignment="1">
      <alignment horizontal="center"/>
    </xf>
    <xf numFmtId="0" fontId="16" fillId="0" borderId="27" xfId="0" applyFont="1" applyBorder="1" applyAlignment="1">
      <alignment horizontal="center"/>
    </xf>
    <xf numFmtId="0" fontId="16" fillId="0" borderId="22" xfId="0" applyFont="1" applyBorder="1" applyAlignment="1">
      <alignment horizontal="center"/>
    </xf>
    <xf numFmtId="0" fontId="16" fillId="0" borderId="25" xfId="0" applyFont="1" applyBorder="1" applyAlignment="1">
      <alignment horizontal="centerContinuous"/>
    </xf>
    <xf numFmtId="0" fontId="16" fillId="0" borderId="61" xfId="0" applyFont="1" applyBorder="1" applyAlignment="1">
      <alignment horizontal="centerContinuous"/>
    </xf>
    <xf numFmtId="0" fontId="16" fillId="0" borderId="62" xfId="0" applyFont="1" applyBorder="1" applyAlignment="1">
      <alignment horizontal="centerContinuous"/>
    </xf>
    <xf numFmtId="0" fontId="16" fillId="0" borderId="6" xfId="0" applyFont="1" applyBorder="1"/>
    <xf numFmtId="0" fontId="16" fillId="0" borderId="50" xfId="0" applyFont="1" applyBorder="1" applyAlignment="1">
      <alignment horizontal="center"/>
    </xf>
    <xf numFmtId="0" fontId="16" fillId="0" borderId="18" xfId="0" applyFont="1" applyBorder="1" applyAlignment="1">
      <alignment horizontal="center"/>
    </xf>
    <xf numFmtId="0" fontId="16" fillId="0" borderId="10" xfId="0" applyFont="1" applyBorder="1"/>
    <xf numFmtId="0" fontId="16" fillId="0" borderId="12" xfId="0" applyFont="1" applyBorder="1" applyAlignment="1">
      <alignment horizontal="center"/>
    </xf>
    <xf numFmtId="0" fontId="16" fillId="0" borderId="19" xfId="0" applyFont="1" applyBorder="1" applyAlignment="1">
      <alignment horizontal="center"/>
    </xf>
    <xf numFmtId="0" fontId="16" fillId="0" borderId="38" xfId="0" applyFont="1" applyBorder="1"/>
    <xf numFmtId="0" fontId="16" fillId="0" borderId="39" xfId="0" applyFont="1" applyBorder="1" applyAlignment="1">
      <alignment horizontal="center"/>
    </xf>
    <xf numFmtId="0" fontId="16" fillId="0" borderId="30" xfId="0" applyFont="1" applyBorder="1" applyAlignment="1">
      <alignment horizontal="center"/>
    </xf>
    <xf numFmtId="0" fontId="16" fillId="0" borderId="13" xfId="0" applyFont="1" applyBorder="1"/>
    <xf numFmtId="0" fontId="16" fillId="0" borderId="15" xfId="0" applyFont="1" applyBorder="1" applyAlignment="1">
      <alignment horizontal="center"/>
    </xf>
    <xf numFmtId="0" fontId="16" fillId="0" borderId="20" xfId="0" applyFont="1" applyBorder="1" applyAlignment="1">
      <alignment horizontal="center"/>
    </xf>
    <xf numFmtId="0" fontId="16" fillId="0" borderId="43" xfId="0" applyFont="1" applyBorder="1"/>
    <xf numFmtId="0" fontId="16" fillId="0" borderId="50" xfId="0" applyFont="1" applyBorder="1"/>
    <xf numFmtId="0" fontId="16" fillId="0" borderId="18" xfId="0" applyFont="1" applyBorder="1"/>
    <xf numFmtId="0" fontId="16" fillId="0" borderId="33" xfId="0" applyFont="1" applyBorder="1"/>
    <xf numFmtId="0" fontId="16" fillId="0" borderId="12" xfId="0" applyFont="1" applyBorder="1"/>
    <xf numFmtId="0" fontId="16" fillId="0" borderId="19" xfId="0" applyFont="1" applyBorder="1"/>
    <xf numFmtId="0" fontId="16" fillId="0" borderId="36" xfId="0" applyFont="1" applyBorder="1"/>
    <xf numFmtId="0" fontId="16" fillId="0" borderId="39" xfId="0" applyFont="1" applyBorder="1"/>
    <xf numFmtId="0" fontId="16" fillId="0" borderId="30" xfId="0" applyFont="1" applyBorder="1"/>
    <xf numFmtId="0" fontId="36" fillId="0" borderId="31" xfId="0" applyFont="1" applyBorder="1"/>
    <xf numFmtId="0" fontId="36" fillId="0" borderId="27" xfId="0" applyFont="1" applyBorder="1"/>
    <xf numFmtId="0" fontId="36" fillId="0" borderId="22" xfId="0" applyFont="1" applyBorder="1"/>
    <xf numFmtId="0" fontId="0" fillId="0" borderId="49" xfId="0" applyBorder="1"/>
    <xf numFmtId="0" fontId="37" fillId="0" borderId="0" xfId="0" applyFont="1"/>
    <xf numFmtId="0" fontId="3" fillId="7" borderId="16" xfId="0" applyFont="1" applyFill="1" applyBorder="1" applyAlignment="1">
      <alignment horizontal="right" vertical="center"/>
    </xf>
    <xf numFmtId="0" fontId="0" fillId="0" borderId="52" xfId="0" applyBorder="1" applyAlignment="1">
      <alignment horizontal="right" vertical="center"/>
    </xf>
    <xf numFmtId="0" fontId="0" fillId="0" borderId="53" xfId="0" applyBorder="1" applyAlignment="1">
      <alignment horizontal="right" vertical="center"/>
    </xf>
    <xf numFmtId="0" fontId="0" fillId="0" borderId="54" xfId="0" applyBorder="1" applyAlignment="1">
      <alignment horizontal="right" vertical="center"/>
    </xf>
    <xf numFmtId="0" fontId="0" fillId="2" borderId="0" xfId="0" applyFill="1" applyAlignment="1">
      <alignment horizontal="right" vertical="center"/>
    </xf>
    <xf numFmtId="0" fontId="3" fillId="3" borderId="25" xfId="0" applyFont="1" applyFill="1" applyBorder="1" applyAlignment="1">
      <alignment horizontal="right" vertical="center"/>
    </xf>
    <xf numFmtId="0" fontId="3" fillId="5" borderId="25" xfId="0" applyFont="1" applyFill="1" applyBorder="1" applyAlignment="1">
      <alignment horizontal="right" vertical="center"/>
    </xf>
    <xf numFmtId="0" fontId="3" fillId="6" borderId="25" xfId="0" applyFont="1" applyFill="1" applyBorder="1" applyAlignment="1">
      <alignment horizontal="right" vertical="center"/>
    </xf>
    <xf numFmtId="0" fontId="0" fillId="0" borderId="8" xfId="0" applyBorder="1"/>
    <xf numFmtId="0" fontId="0" fillId="0" borderId="23" xfId="0" applyBorder="1"/>
    <xf numFmtId="0" fontId="3" fillId="0" borderId="0" xfId="0" applyFont="1" applyAlignment="1">
      <alignment horizontal="center" vertical="center"/>
    </xf>
    <xf numFmtId="0" fontId="0" fillId="0" borderId="0" xfId="0" applyAlignment="1">
      <alignment horizontal="right" vertical="center" wrapText="1" indent="1"/>
    </xf>
    <xf numFmtId="0" fontId="3" fillId="7" borderId="45" xfId="0" applyFont="1" applyFill="1" applyBorder="1" applyAlignment="1">
      <alignment horizontal="right" vertical="center" wrapText="1" indent="1"/>
    </xf>
    <xf numFmtId="0" fontId="0" fillId="0" borderId="46" xfId="0" applyBorder="1" applyAlignment="1">
      <alignment horizontal="right" vertical="center" wrapText="1" indent="1"/>
    </xf>
    <xf numFmtId="0" fontId="0" fillId="0" borderId="47" xfId="0" applyBorder="1" applyAlignment="1">
      <alignment horizontal="right" vertical="center" wrapText="1" indent="1"/>
    </xf>
    <xf numFmtId="0" fontId="0" fillId="0" borderId="49" xfId="0" applyBorder="1" applyAlignment="1">
      <alignment horizontal="right" vertical="center" wrapText="1" indent="1"/>
    </xf>
    <xf numFmtId="0" fontId="3" fillId="3" borderId="26" xfId="0" applyFont="1" applyFill="1" applyBorder="1" applyAlignment="1">
      <alignment horizontal="right" vertical="center" wrapText="1" indent="1"/>
    </xf>
    <xf numFmtId="0" fontId="3" fillId="5" borderId="26" xfId="0" applyFont="1" applyFill="1" applyBorder="1" applyAlignment="1">
      <alignment horizontal="right" vertical="center" wrapText="1" indent="1"/>
    </xf>
    <xf numFmtId="0" fontId="3" fillId="6" borderId="26" xfId="0" applyFont="1" applyFill="1" applyBorder="1" applyAlignment="1">
      <alignment horizontal="right" vertical="center" wrapText="1" indent="1"/>
    </xf>
    <xf numFmtId="0" fontId="12" fillId="4" borderId="26" xfId="0" applyFont="1" applyFill="1" applyBorder="1" applyAlignment="1" applyProtection="1">
      <alignment horizontal="left" vertical="center" indent="1"/>
      <protection locked="0"/>
    </xf>
    <xf numFmtId="0" fontId="38" fillId="0" borderId="42" xfId="0" applyFont="1" applyBorder="1" applyAlignment="1">
      <alignment horizontal="left"/>
    </xf>
    <xf numFmtId="0" fontId="0" fillId="0" borderId="42" xfId="0" applyBorder="1"/>
    <xf numFmtId="0" fontId="5" fillId="0" borderId="0" xfId="0" applyFont="1"/>
    <xf numFmtId="0" fontId="39" fillId="0" borderId="0" xfId="0" applyFont="1"/>
    <xf numFmtId="0" fontId="40" fillId="0" borderId="0" xfId="0" applyFont="1"/>
    <xf numFmtId="0" fontId="41" fillId="0" borderId="0" xfId="0" applyFont="1"/>
    <xf numFmtId="0" fontId="40" fillId="0" borderId="0" xfId="0" applyFont="1" applyAlignment="1">
      <alignment wrapText="1"/>
    </xf>
    <xf numFmtId="164" fontId="40" fillId="0" borderId="0" xfId="0" applyNumberFormat="1" applyFont="1"/>
    <xf numFmtId="0" fontId="12" fillId="4" borderId="21" xfId="0" applyFont="1" applyFill="1" applyBorder="1" applyAlignment="1" applyProtection="1">
      <alignment horizontal="center" vertical="center" wrapText="1"/>
      <protection locked="0"/>
    </xf>
    <xf numFmtId="0" fontId="12" fillId="4" borderId="27" xfId="0" applyFont="1" applyFill="1" applyBorder="1" applyAlignment="1" applyProtection="1">
      <alignment horizontal="center" vertical="center" wrapText="1"/>
      <protection locked="0"/>
    </xf>
    <xf numFmtId="0" fontId="12" fillId="4" borderId="22" xfId="0" applyFont="1" applyFill="1" applyBorder="1" applyAlignment="1" applyProtection="1">
      <alignment horizontal="center" vertical="center" wrapText="1"/>
      <protection locked="0"/>
    </xf>
    <xf numFmtId="0" fontId="42" fillId="0" borderId="0" xfId="0" applyFont="1"/>
    <xf numFmtId="0" fontId="43" fillId="0" borderId="0" xfId="0" applyFont="1" applyAlignment="1">
      <alignment horizontal="left" indent="1"/>
    </xf>
    <xf numFmtId="0" fontId="3" fillId="7" borderId="25" xfId="0" applyFont="1" applyFill="1" applyBorder="1" applyAlignment="1">
      <alignment horizontal="center" vertical="center"/>
    </xf>
    <xf numFmtId="0" fontId="3" fillId="2" borderId="60" xfId="0" applyFont="1" applyFill="1" applyBorder="1" applyAlignment="1">
      <alignment horizontal="center"/>
    </xf>
    <xf numFmtId="0" fontId="16" fillId="0" borderId="63" xfId="0" applyFont="1" applyBorder="1" applyAlignment="1">
      <alignment horizontal="center"/>
    </xf>
    <xf numFmtId="0" fontId="44" fillId="0" borderId="0" xfId="0" applyFont="1"/>
    <xf numFmtId="0" fontId="45" fillId="2" borderId="0" xfId="0" applyFont="1" applyFill="1" applyAlignment="1">
      <alignment vertical="center"/>
    </xf>
    <xf numFmtId="0" fontId="39" fillId="2" borderId="0" xfId="0" applyFont="1" applyFill="1" applyAlignment="1">
      <alignment vertical="center"/>
    </xf>
    <xf numFmtId="164" fontId="6" fillId="4" borderId="26" xfId="0" applyNumberFormat="1" applyFont="1" applyFill="1" applyBorder="1" applyAlignment="1" applyProtection="1">
      <alignment horizontal="left" vertical="center" wrapText="1" indent="1"/>
      <protection locked="0"/>
    </xf>
    <xf numFmtId="0" fontId="5" fillId="0" borderId="0" xfId="0" applyFont="1" applyAlignment="1">
      <alignment wrapText="1"/>
    </xf>
    <xf numFmtId="164" fontId="5" fillId="0" borderId="0" xfId="0" applyNumberFormat="1" applyFont="1"/>
    <xf numFmtId="0" fontId="38" fillId="7" borderId="23" xfId="0" applyFont="1" applyFill="1" applyBorder="1" applyAlignment="1" applyProtection="1">
      <alignment horizontal="center" vertical="center"/>
      <protection locked="0"/>
    </xf>
    <xf numFmtId="0" fontId="38" fillId="7" borderId="19" xfId="0" applyFont="1" applyFill="1" applyBorder="1" applyAlignment="1" applyProtection="1">
      <alignment horizontal="center" vertical="center"/>
      <protection locked="0"/>
    </xf>
    <xf numFmtId="0" fontId="38" fillId="7" borderId="30" xfId="0" applyFont="1" applyFill="1" applyBorder="1" applyAlignment="1" applyProtection="1">
      <alignment horizontal="center" vertical="center"/>
      <protection locked="0"/>
    </xf>
    <xf numFmtId="164" fontId="3" fillId="2" borderId="34" xfId="0" applyNumberFormat="1" applyFont="1" applyFill="1" applyBorder="1" applyAlignment="1">
      <alignment horizontal="center" vertical="top" wrapText="1"/>
    </xf>
    <xf numFmtId="164" fontId="40" fillId="0" borderId="0" xfId="0" applyNumberFormat="1" applyFont="1" applyAlignment="1">
      <alignment horizontal="center"/>
    </xf>
    <xf numFmtId="164" fontId="0" fillId="0" borderId="0" xfId="0" applyNumberFormat="1" applyAlignment="1">
      <alignment horizontal="center"/>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6" fillId="0" borderId="0" xfId="0" applyNumberFormat="1" applyFont="1" applyAlignment="1" applyProtection="1">
      <alignment horizontal="center" vertical="center" wrapText="1"/>
      <protection locked="0"/>
    </xf>
    <xf numFmtId="164" fontId="6" fillId="4" borderId="26" xfId="0" applyNumberFormat="1" applyFont="1" applyFill="1" applyBorder="1" applyAlignment="1" applyProtection="1">
      <alignment horizontal="center" vertical="center" wrapText="1"/>
      <protection locked="0"/>
    </xf>
    <xf numFmtId="0" fontId="46" fillId="0" borderId="0" xfId="0" applyFont="1" applyAlignment="1">
      <alignment wrapText="1"/>
    </xf>
    <xf numFmtId="0" fontId="12" fillId="4" borderId="13" xfId="0" applyFont="1" applyFill="1" applyBorder="1" applyAlignment="1" applyProtection="1">
      <alignment horizontal="center" vertical="center"/>
      <protection locked="0"/>
    </xf>
    <xf numFmtId="0" fontId="4" fillId="4" borderId="15" xfId="0" applyFont="1" applyFill="1" applyBorder="1" applyAlignment="1" applyProtection="1">
      <alignment horizontal="center" vertical="center"/>
      <protection locked="0"/>
    </xf>
    <xf numFmtId="0" fontId="38" fillId="7" borderId="20" xfId="0" applyFont="1" applyFill="1" applyBorder="1" applyAlignment="1" applyProtection="1">
      <alignment horizontal="center" vertical="center"/>
      <protection locked="0"/>
    </xf>
    <xf numFmtId="0" fontId="4" fillId="4" borderId="49" xfId="0" applyFont="1" applyFill="1" applyBorder="1" applyAlignment="1" applyProtection="1">
      <alignment horizontal="center" vertical="center"/>
      <protection locked="0"/>
    </xf>
    <xf numFmtId="0" fontId="0" fillId="2" borderId="27" xfId="0" applyFill="1" applyBorder="1" applyAlignment="1">
      <alignment horizontal="center" vertical="top" wrapText="1"/>
    </xf>
    <xf numFmtId="0" fontId="0" fillId="2" borderId="27" xfId="0" applyFill="1" applyBorder="1" applyAlignment="1">
      <alignment horizontal="left" vertical="top" wrapText="1"/>
    </xf>
    <xf numFmtId="0" fontId="0" fillId="2" borderId="22" xfId="0" applyFill="1" applyBorder="1" applyAlignment="1">
      <alignment vertical="top"/>
    </xf>
    <xf numFmtId="0" fontId="6" fillId="4" borderId="8" xfId="0" applyFont="1" applyFill="1" applyBorder="1" applyAlignment="1" applyProtection="1">
      <alignment horizontal="center" vertical="center"/>
      <protection locked="0"/>
    </xf>
    <xf numFmtId="0" fontId="6" fillId="4" borderId="9" xfId="0" applyFont="1" applyFill="1" applyBorder="1" applyAlignment="1" applyProtection="1">
      <alignment horizontal="center" vertical="center"/>
      <protection locked="0"/>
    </xf>
    <xf numFmtId="0" fontId="0" fillId="7" borderId="23" xfId="0" applyFill="1" applyBorder="1" applyAlignment="1" applyProtection="1">
      <alignment horizontal="center" vertical="center"/>
      <protection locked="0"/>
    </xf>
    <xf numFmtId="0" fontId="6" fillId="4" borderId="46" xfId="0" applyFont="1" applyFill="1" applyBorder="1" applyAlignment="1" applyProtection="1">
      <alignment horizontal="center" vertical="center"/>
      <protection locked="0"/>
    </xf>
    <xf numFmtId="0" fontId="0" fillId="7" borderId="19" xfId="0" applyFill="1" applyBorder="1" applyAlignment="1" applyProtection="1">
      <alignment horizontal="center" vertical="center"/>
      <protection locked="0"/>
    </xf>
    <xf numFmtId="0" fontId="6" fillId="4" borderId="47" xfId="0" applyFont="1" applyFill="1" applyBorder="1" applyAlignment="1" applyProtection="1">
      <alignment horizontal="center" vertical="center"/>
      <protection locked="0"/>
    </xf>
    <xf numFmtId="0" fontId="0" fillId="7" borderId="20" xfId="0" applyFill="1" applyBorder="1" applyAlignment="1" applyProtection="1">
      <alignment horizontal="center" vertical="center"/>
      <protection locked="0"/>
    </xf>
    <xf numFmtId="0" fontId="6" fillId="4" borderId="49" xfId="0" applyFont="1" applyFill="1" applyBorder="1" applyAlignment="1" applyProtection="1">
      <alignment horizontal="center" vertical="center"/>
      <protection locked="0"/>
    </xf>
    <xf numFmtId="14" fontId="0" fillId="0" borderId="0" xfId="0" applyNumberFormat="1" applyAlignment="1">
      <alignment horizontal="left" indent="1"/>
    </xf>
    <xf numFmtId="0" fontId="19" fillId="4" borderId="26" xfId="0" applyFont="1" applyFill="1" applyBorder="1" applyAlignment="1" applyProtection="1">
      <alignment horizontal="left" vertical="center" indent="1"/>
      <protection locked="0"/>
    </xf>
    <xf numFmtId="0" fontId="0" fillId="5" borderId="32" xfId="0" applyFill="1" applyBorder="1" applyAlignment="1">
      <alignment horizontal="center" vertical="center"/>
    </xf>
    <xf numFmtId="0" fontId="0" fillId="0" borderId="24" xfId="0" applyBorder="1" applyAlignment="1">
      <alignment vertical="center" wrapText="1"/>
    </xf>
    <xf numFmtId="0" fontId="4" fillId="4" borderId="64" xfId="0" applyFont="1" applyFill="1" applyBorder="1" applyAlignment="1" applyProtection="1">
      <alignment horizontal="center" vertical="center"/>
      <protection locked="0"/>
    </xf>
    <xf numFmtId="0" fontId="0" fillId="3" borderId="15" xfId="0" applyFill="1" applyBorder="1" applyAlignment="1">
      <alignment horizontal="center" vertical="center"/>
    </xf>
    <xf numFmtId="0" fontId="0" fillId="0" borderId="14" xfId="0" applyBorder="1" applyAlignment="1">
      <alignment horizontal="left" vertical="center" wrapText="1"/>
    </xf>
    <xf numFmtId="0" fontId="0" fillId="6" borderId="32" xfId="0" applyFill="1" applyBorder="1" applyAlignment="1">
      <alignment horizontal="center" vertical="center"/>
    </xf>
    <xf numFmtId="0" fontId="0" fillId="5" borderId="15" xfId="0" applyFill="1" applyBorder="1" applyAlignment="1">
      <alignment horizontal="center" vertical="center"/>
    </xf>
    <xf numFmtId="0" fontId="0" fillId="0" borderId="14" xfId="0" applyBorder="1" applyAlignment="1">
      <alignment vertical="center" wrapText="1"/>
    </xf>
    <xf numFmtId="0" fontId="47" fillId="0" borderId="65" xfId="0" applyFont="1" applyBorder="1" applyAlignment="1">
      <alignment horizontal="center"/>
    </xf>
    <xf numFmtId="0" fontId="30" fillId="0" borderId="66" xfId="0" applyFont="1" applyBorder="1" applyAlignment="1">
      <alignment horizontal="left" vertical="center" wrapText="1" indent="2"/>
    </xf>
    <xf numFmtId="0" fontId="30" fillId="0" borderId="0" xfId="0" applyFont="1" applyAlignment="1">
      <alignment horizontal="left" vertical="center" wrapText="1" indent="2"/>
    </xf>
    <xf numFmtId="0" fontId="39" fillId="0" borderId="0" xfId="0" applyFont="1" applyAlignment="1">
      <alignment horizontal="left" vertical="center" indent="1"/>
    </xf>
    <xf numFmtId="0" fontId="31" fillId="8" borderId="0" xfId="0" applyFont="1" applyFill="1" applyAlignment="1">
      <alignment horizontal="left" vertical="center" wrapText="1" indent="1"/>
    </xf>
    <xf numFmtId="0" fontId="20" fillId="0" borderId="0" xfId="1" applyFont="1" applyBorder="1" applyAlignment="1">
      <alignment horizontal="left" wrapText="1" indent="1"/>
    </xf>
    <xf numFmtId="0" fontId="20" fillId="8" borderId="0" xfId="0" applyFont="1" applyFill="1" applyAlignment="1">
      <alignment horizontal="left" vertical="center" wrapText="1" indent="3"/>
    </xf>
    <xf numFmtId="0" fontId="20" fillId="8" borderId="0" xfId="0" applyFont="1" applyFill="1" applyAlignment="1">
      <alignment horizontal="left" vertical="center" wrapText="1" indent="5"/>
    </xf>
    <xf numFmtId="0" fontId="20" fillId="8" borderId="45" xfId="0" applyFont="1" applyFill="1" applyBorder="1" applyAlignment="1">
      <alignment horizontal="left" vertical="center" wrapText="1" indent="1"/>
    </xf>
    <xf numFmtId="0" fontId="20" fillId="8" borderId="67" xfId="0" applyFont="1" applyFill="1" applyBorder="1" applyAlignment="1">
      <alignment horizontal="left" vertical="center" wrapText="1" indent="3"/>
    </xf>
    <xf numFmtId="0" fontId="20" fillId="8" borderId="67" xfId="0" applyFont="1" applyFill="1" applyBorder="1" applyAlignment="1">
      <alignment horizontal="left" vertical="center" wrapText="1" indent="5"/>
    </xf>
    <xf numFmtId="0" fontId="20" fillId="8" borderId="57" xfId="0" applyFont="1" applyFill="1" applyBorder="1" applyAlignment="1">
      <alignment horizontal="left" vertical="center" wrapText="1" indent="3"/>
    </xf>
    <xf numFmtId="0" fontId="20" fillId="0" borderId="0" xfId="0" applyFont="1"/>
    <xf numFmtId="0" fontId="20" fillId="0" borderId="0" xfId="0" applyFont="1" applyAlignment="1">
      <alignment wrapText="1"/>
    </xf>
    <xf numFmtId="0" fontId="20" fillId="0" borderId="0" xfId="0" applyFont="1" applyAlignment="1">
      <alignment horizontal="left" wrapText="1" indent="4"/>
    </xf>
    <xf numFmtId="0" fontId="20" fillId="0" borderId="0" xfId="0" applyFont="1" applyAlignment="1">
      <alignment horizontal="left" indent="4"/>
    </xf>
    <xf numFmtId="0" fontId="29" fillId="0" borderId="0" xfId="0" applyFont="1" applyAlignment="1">
      <alignment horizontal="left" wrapText="1" indent="4"/>
    </xf>
    <xf numFmtId="0" fontId="14" fillId="8" borderId="45" xfId="0" applyFont="1" applyFill="1" applyBorder="1" applyAlignment="1">
      <alignment horizontal="left" vertical="center" wrapText="1" indent="1"/>
    </xf>
    <xf numFmtId="0" fontId="20" fillId="8" borderId="0" xfId="0" applyFont="1" applyFill="1" applyAlignment="1">
      <alignment horizontal="left" vertical="center" wrapText="1" indent="2"/>
    </xf>
    <xf numFmtId="0" fontId="29" fillId="0" borderId="0" xfId="0" applyFont="1" applyAlignment="1">
      <alignment horizontal="left" wrapText="1" indent="1"/>
    </xf>
    <xf numFmtId="0" fontId="20" fillId="0" borderId="26" xfId="0" applyFont="1" applyBorder="1" applyAlignment="1">
      <alignment horizontal="left" vertical="center" wrapText="1" indent="2"/>
    </xf>
    <xf numFmtId="0" fontId="20" fillId="8" borderId="0" xfId="0" applyFont="1" applyFill="1" applyAlignment="1">
      <alignment horizontal="left" vertical="center" wrapText="1" indent="7"/>
    </xf>
    <xf numFmtId="0" fontId="20" fillId="0" borderId="0" xfId="1" applyFont="1" applyBorder="1" applyAlignment="1">
      <alignment horizontal="left" wrapText="1" indent="3"/>
    </xf>
    <xf numFmtId="0" fontId="20" fillId="0" borderId="0" xfId="1" applyFont="1" applyBorder="1" applyAlignment="1">
      <alignment horizontal="left" vertical="center" wrapText="1" indent="3"/>
    </xf>
    <xf numFmtId="0" fontId="0" fillId="0" borderId="23" xfId="0" applyBorder="1" applyAlignment="1">
      <alignment horizontal="left" vertical="center" wrapText="1"/>
    </xf>
    <xf numFmtId="0" fontId="0" fillId="0" borderId="19" xfId="0" applyBorder="1" applyAlignment="1">
      <alignment horizontal="left" vertical="center" wrapText="1"/>
    </xf>
    <xf numFmtId="0" fontId="0" fillId="0" borderId="30" xfId="0" applyBorder="1" applyAlignment="1">
      <alignment horizontal="left"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30" xfId="0" applyBorder="1" applyAlignment="1">
      <alignment vertical="center" wrapText="1"/>
    </xf>
    <xf numFmtId="0" fontId="0" fillId="0" borderId="18" xfId="0" applyBorder="1" applyAlignment="1">
      <alignment horizontal="left" vertical="center" wrapText="1"/>
    </xf>
    <xf numFmtId="0" fontId="0" fillId="0" borderId="20" xfId="0" applyBorder="1" applyAlignment="1">
      <alignment horizontal="left" vertical="center" wrapText="1"/>
    </xf>
    <xf numFmtId="0" fontId="38" fillId="0" borderId="42" xfId="0" applyFont="1" applyBorder="1" applyAlignment="1">
      <alignment horizontal="left" vertical="center"/>
    </xf>
    <xf numFmtId="0" fontId="0" fillId="0" borderId="42" xfId="0" applyBorder="1" applyAlignment="1">
      <alignment vertical="center"/>
    </xf>
    <xf numFmtId="0" fontId="5" fillId="0" borderId="0" xfId="0" applyFont="1" applyAlignment="1">
      <alignment vertical="center"/>
    </xf>
    <xf numFmtId="0" fontId="3" fillId="2" borderId="3"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17" xfId="0" applyFont="1" applyFill="1" applyBorder="1" applyAlignment="1">
      <alignment horizontal="center" vertical="center"/>
    </xf>
    <xf numFmtId="0" fontId="3" fillId="0" borderId="0" xfId="0" applyFont="1" applyAlignment="1">
      <alignment horizontal="center" vertical="center" wrapText="1"/>
    </xf>
    <xf numFmtId="0" fontId="3" fillId="2" borderId="22" xfId="0" applyFont="1" applyFill="1" applyBorder="1" applyAlignment="1">
      <alignment vertical="center" wrapText="1"/>
    </xf>
    <xf numFmtId="0" fontId="3" fillId="2" borderId="21" xfId="0" applyFont="1" applyFill="1" applyBorder="1" applyAlignment="1">
      <alignment horizontal="left" vertical="center" wrapText="1"/>
    </xf>
    <xf numFmtId="0" fontId="0" fillId="3" borderId="8" xfId="0" applyFill="1" applyBorder="1" applyAlignment="1">
      <alignment horizontal="center" vertical="center" wrapText="1"/>
    </xf>
    <xf numFmtId="0" fontId="0" fillId="0" borderId="0" xfId="0" applyAlignment="1">
      <alignment horizontal="center" vertical="center" wrapText="1"/>
    </xf>
    <xf numFmtId="0" fontId="0" fillId="3" borderId="10" xfId="0" applyFill="1" applyBorder="1" applyAlignment="1">
      <alignment horizontal="center" vertical="center" wrapText="1"/>
    </xf>
    <xf numFmtId="0" fontId="0" fillId="3" borderId="38" xfId="0" applyFill="1" applyBorder="1" applyAlignment="1">
      <alignment horizontal="center" vertical="center" wrapText="1"/>
    </xf>
    <xf numFmtId="0" fontId="0" fillId="5" borderId="6"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38" xfId="0" applyFill="1" applyBorder="1" applyAlignment="1">
      <alignment horizontal="center" vertical="center" wrapText="1"/>
    </xf>
    <xf numFmtId="0" fontId="0" fillId="6" borderId="6"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13" xfId="0" applyFill="1" applyBorder="1" applyAlignment="1">
      <alignment horizontal="center" vertical="center" wrapText="1"/>
    </xf>
    <xf numFmtId="0" fontId="40" fillId="0" borderId="0" xfId="0" applyFont="1" applyAlignment="1">
      <alignment horizontal="center"/>
    </xf>
    <xf numFmtId="0" fontId="0" fillId="0" borderId="42" xfId="0" applyBorder="1" applyAlignment="1">
      <alignment horizontal="center"/>
    </xf>
    <xf numFmtId="0" fontId="5" fillId="0" borderId="0" xfId="0" applyFont="1" applyAlignment="1">
      <alignment horizontal="center"/>
    </xf>
    <xf numFmtId="0" fontId="0" fillId="0" borderId="42" xfId="0" applyBorder="1" applyAlignment="1">
      <alignment horizontal="center" vertical="center"/>
    </xf>
    <xf numFmtId="0" fontId="5" fillId="0" borderId="0" xfId="0" applyFont="1" applyAlignment="1">
      <alignment horizontal="center" vertical="center"/>
    </xf>
    <xf numFmtId="0" fontId="0" fillId="0" borderId="61" xfId="0" applyBorder="1"/>
    <xf numFmtId="0" fontId="43" fillId="0" borderId="0" xfId="0" applyFont="1" applyAlignment="1">
      <alignment horizontal="centerContinuous" vertical="center"/>
    </xf>
    <xf numFmtId="0" fontId="0" fillId="0" borderId="0" xfId="0" applyAlignment="1">
      <alignment horizontal="centerContinuous" vertical="center"/>
    </xf>
    <xf numFmtId="0" fontId="9" fillId="0" borderId="42" xfId="0" applyFont="1" applyBorder="1" applyAlignment="1">
      <alignment vertical="center"/>
    </xf>
    <xf numFmtId="0" fontId="3" fillId="7" borderId="3" xfId="0" applyFont="1" applyFill="1" applyBorder="1" applyAlignment="1">
      <alignment horizontal="right" vertical="center"/>
    </xf>
    <xf numFmtId="0" fontId="0" fillId="0" borderId="6" xfId="0" applyBorder="1" applyAlignment="1">
      <alignment horizontal="right" vertical="center"/>
    </xf>
    <xf numFmtId="0" fontId="0" fillId="0" borderId="10" xfId="0" applyBorder="1" applyAlignment="1">
      <alignment horizontal="right" vertical="center"/>
    </xf>
    <xf numFmtId="0" fontId="0" fillId="0" borderId="13" xfId="0" applyBorder="1" applyAlignment="1">
      <alignment horizontal="right" vertical="center"/>
    </xf>
    <xf numFmtId="0" fontId="3" fillId="3" borderId="21" xfId="0" applyFont="1" applyFill="1" applyBorder="1" applyAlignment="1">
      <alignment horizontal="right" vertical="center"/>
    </xf>
    <xf numFmtId="0" fontId="3" fillId="5" borderId="21" xfId="0" applyFont="1" applyFill="1" applyBorder="1" applyAlignment="1">
      <alignment horizontal="right" vertical="center"/>
    </xf>
    <xf numFmtId="0" fontId="3" fillId="6" borderId="21" xfId="0" applyFont="1" applyFill="1" applyBorder="1" applyAlignment="1">
      <alignment horizontal="right" vertical="center"/>
    </xf>
    <xf numFmtId="0" fontId="3" fillId="7" borderId="26" xfId="0" applyFont="1" applyFill="1" applyBorder="1" applyAlignment="1">
      <alignment horizontal="left" vertical="center"/>
    </xf>
    <xf numFmtId="0" fontId="3" fillId="0" borderId="68" xfId="0" applyFont="1" applyBorder="1" applyAlignment="1">
      <alignment horizontal="center"/>
    </xf>
    <xf numFmtId="0" fontId="3" fillId="7" borderId="25" xfId="0" applyFont="1" applyFill="1" applyBorder="1" applyAlignment="1">
      <alignment horizontal="left" vertical="center"/>
    </xf>
    <xf numFmtId="0" fontId="3" fillId="7" borderId="61" xfId="0" applyFont="1" applyFill="1" applyBorder="1" applyAlignment="1">
      <alignment horizontal="left" vertical="center"/>
    </xf>
    <xf numFmtId="0" fontId="3" fillId="7" borderId="62" xfId="0" applyFont="1" applyFill="1" applyBorder="1" applyAlignment="1">
      <alignment horizontal="left" vertical="center"/>
    </xf>
    <xf numFmtId="0" fontId="3" fillId="0" borderId="0" xfId="0" applyFont="1" applyAlignment="1">
      <alignment horizontal="centerContinuous" vertical="center" wrapText="1"/>
    </xf>
    <xf numFmtId="0" fontId="0" fillId="0" borderId="69" xfId="0" applyBorder="1" applyAlignment="1">
      <alignment horizontal="centerContinuous" vertical="center" wrapText="1"/>
    </xf>
  </cellXfs>
  <cellStyles count="3">
    <cellStyle name="Heading 2" xfId="1" builtinId="17"/>
    <cellStyle name="Heading 3" xfId="2" builtinId="18"/>
    <cellStyle name="Normal" xfId="0" builtinId="0"/>
  </cellStyles>
  <dxfs count="284">
    <dxf>
      <alignment horizontal="left" vertical="center" textRotation="0" wrapText="1" indent="0" justifyLastLine="0" shrinkToFit="0" readingOrder="0"/>
      <border diagonalUp="0" diagonalDown="0" outline="0">
        <left style="hair">
          <color auto="1"/>
        </left>
        <right style="thin">
          <color indexed="64"/>
        </right>
        <top style="hair">
          <color auto="1"/>
        </top>
        <bottom style="hair">
          <color auto="1"/>
        </bottom>
      </border>
      <protection locked="1" hidden="0"/>
    </dxf>
    <dxf>
      <font>
        <b/>
        <i val="0"/>
        <strike val="0"/>
        <condense val="0"/>
        <extend val="0"/>
        <outline val="0"/>
        <shadow val="0"/>
        <u val="none"/>
        <vertAlign val="baseline"/>
        <sz val="12"/>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fill>
        <patternFill patternType="solid">
          <fgColor indexed="64"/>
          <bgColor rgb="FFCDACE6"/>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protection locked="1" hidden="0"/>
    </dxf>
    <dxf>
      <font>
        <color theme="0"/>
      </font>
    </dxf>
    <dxf>
      <font>
        <color rgb="FF0000CC"/>
      </font>
      <fill>
        <patternFill>
          <bgColor rgb="FFFFFFCC"/>
        </patternFill>
      </fill>
    </dxf>
    <dxf>
      <font>
        <color rgb="FF0000CC"/>
      </font>
      <fill>
        <patternFill>
          <bgColor rgb="FFFFFFCC"/>
        </patternFill>
      </fill>
    </dxf>
    <dxf>
      <font>
        <color rgb="FF0000CC"/>
      </font>
      <fill>
        <patternFill>
          <bgColor rgb="FFFFFFCC"/>
        </patternFill>
      </fill>
    </dxf>
    <dxf>
      <font>
        <color rgb="FF0000CC"/>
      </font>
      <fill>
        <patternFill>
          <bgColor rgb="FFFFFFCC"/>
        </patternFill>
      </fill>
    </dxf>
    <dxf>
      <font>
        <color rgb="FF0000CC"/>
      </font>
      <fill>
        <patternFill>
          <bgColor rgb="FFFFFFCC"/>
        </patternFill>
      </fill>
    </dxf>
    <dxf>
      <border>
        <bottom style="thin">
          <color auto="1"/>
        </bottom>
        <vertical/>
        <horizontal/>
      </border>
    </dxf>
    <dxf>
      <border>
        <bottom style="thin">
          <color auto="1"/>
        </bottom>
        <vertical/>
        <horizontal/>
      </border>
    </dxf>
    <dxf>
      <font>
        <color rgb="FF0000CC"/>
      </font>
      <fill>
        <patternFill>
          <bgColor rgb="FFFFFFCC"/>
        </patternFill>
      </fill>
    </dxf>
    <dxf>
      <font>
        <color rgb="FF0000CC"/>
      </font>
      <fill>
        <patternFill>
          <bgColor rgb="FFFFFFCC"/>
        </patternFill>
      </fill>
    </dxf>
    <dxf>
      <font>
        <color rgb="FF0000CC"/>
      </font>
      <fill>
        <patternFill>
          <bgColor rgb="FFFFFFCC"/>
        </patternFill>
      </fill>
    </dxf>
    <dxf>
      <border>
        <bottom style="thin">
          <color auto="1"/>
        </bottom>
        <vertical/>
        <horizontal/>
      </border>
    </dxf>
    <dxf>
      <border>
        <bottom style="thin">
          <color auto="1"/>
        </bottom>
        <vertical/>
        <horizontal/>
      </border>
    </dxf>
    <dxf>
      <font>
        <b val="0"/>
        <i/>
        <color theme="0" tint="-0.499984740745262"/>
      </font>
      <fill>
        <patternFill>
          <bgColor theme="0" tint="-4.9989318521683403E-2"/>
        </patternFill>
      </fill>
    </dxf>
    <dxf>
      <border>
        <right style="thin">
          <color auto="1"/>
        </right>
        <vertical/>
        <horizontal/>
      </border>
    </dxf>
    <dxf>
      <border>
        <left style="thin">
          <color auto="1"/>
        </left>
        <vertical/>
        <horizontal/>
      </border>
    </dxf>
    <dxf>
      <font>
        <color theme="0" tint="-4.9989318521683403E-2"/>
      </font>
      <border>
        <left style="thin">
          <color theme="0" tint="-4.9989318521683403E-2"/>
        </left>
      </border>
    </dxf>
    <dxf>
      <border>
        <left style="hair">
          <color auto="1"/>
        </left>
        <right style="hair">
          <color auto="1"/>
        </right>
        <top style="hair">
          <color auto="1"/>
        </top>
        <bottom style="hair">
          <color auto="1"/>
        </bottom>
        <vertical/>
        <horizontal/>
      </border>
    </dxf>
    <dxf>
      <border>
        <bottom style="thin">
          <color auto="1"/>
        </bottom>
        <vertical/>
        <horizontal/>
      </border>
    </dxf>
    <dxf>
      <fill>
        <patternFill>
          <bgColor rgb="FFEAF8E4"/>
        </patternFill>
      </fill>
      <border>
        <vertical/>
        <horizontal/>
      </border>
    </dxf>
    <dxf>
      <font>
        <b/>
        <i val="0"/>
      </font>
      <fill>
        <patternFill>
          <bgColor rgb="FFFDEEE7"/>
        </patternFill>
      </fill>
      <border>
        <vertical/>
        <horizontal/>
      </border>
    </dxf>
    <dxf>
      <border>
        <left style="hair">
          <color auto="1"/>
        </left>
        <right style="hair">
          <color auto="1"/>
        </right>
        <top style="hair">
          <color auto="1"/>
        </top>
        <bottom style="hair">
          <color auto="1"/>
        </bottom>
        <vertical/>
        <horizontal/>
      </border>
    </dxf>
    <dxf>
      <border>
        <bottom style="thin">
          <color auto="1"/>
        </bottom>
        <vertical/>
        <horizontal/>
      </border>
    </dxf>
    <dxf>
      <fill>
        <patternFill>
          <bgColor theme="0" tint="-4.9989318521683403E-2"/>
        </patternFill>
      </fill>
      <border>
        <left style="hair">
          <color auto="1"/>
        </left>
        <right style="hair">
          <color auto="1"/>
        </right>
        <top style="thin">
          <color auto="1"/>
        </top>
        <bottom style="thin">
          <color auto="1"/>
        </bottom>
        <vertical/>
        <horizontal/>
      </border>
    </dxf>
    <dxf>
      <border>
        <right style="thin">
          <color auto="1"/>
        </right>
        <vertical/>
        <horizontal/>
      </border>
    </dxf>
    <dxf>
      <border>
        <left style="thin">
          <color auto="1"/>
        </left>
        <vertical/>
        <horizontal/>
      </border>
    </dxf>
    <dxf>
      <fill>
        <patternFill>
          <bgColor rgb="FFCDACE6"/>
        </patternFill>
      </fill>
      <border>
        <left style="hair">
          <color auto="1"/>
        </left>
        <right style="hair">
          <color auto="1"/>
        </right>
        <bottom style="hair">
          <color auto="1"/>
        </bottom>
      </border>
    </dxf>
    <dxf>
      <fill>
        <patternFill>
          <bgColor rgb="FFC3D79B"/>
        </patternFill>
      </fill>
      <border>
        <left style="hair">
          <color auto="1"/>
        </left>
        <right style="hair">
          <color auto="1"/>
        </right>
        <bottom style="hair">
          <color auto="1"/>
        </bottom>
      </border>
    </dxf>
    <dxf>
      <fill>
        <patternFill>
          <bgColor rgb="FFDAEAF8"/>
        </patternFill>
      </fill>
      <border>
        <left style="hair">
          <color auto="1"/>
        </left>
        <right style="hair">
          <color auto="1"/>
        </right>
        <bottom style="hair">
          <color auto="1"/>
        </bottom>
      </border>
    </dxf>
    <dxf>
      <border>
        <right style="hair">
          <color auto="1"/>
        </right>
        <top style="hair">
          <color auto="1"/>
        </top>
        <bottom style="hair">
          <color auto="1"/>
        </bottom>
        <vertical/>
        <horizontal/>
      </border>
    </dxf>
    <dxf>
      <border>
        <right style="thin">
          <color auto="1"/>
        </right>
        <vertical/>
        <horizontal/>
      </border>
    </dxf>
    <dxf>
      <fill>
        <patternFill>
          <bgColor theme="0" tint="-0.14996795556505021"/>
        </patternFill>
      </fill>
      <border>
        <top style="thin">
          <color auto="1"/>
        </top>
        <bottom style="thin">
          <color auto="1"/>
        </bottom>
        <vertical/>
        <horizontal/>
      </border>
    </dxf>
    <dxf>
      <fill>
        <patternFill>
          <bgColor rgb="FFCDACE6"/>
        </patternFill>
      </fill>
      <border>
        <top style="thin">
          <color auto="1"/>
        </top>
        <bottom style="thin">
          <color auto="1"/>
        </bottom>
        <vertical/>
        <horizontal/>
      </border>
    </dxf>
    <dxf>
      <fill>
        <patternFill>
          <bgColor rgb="FFC3D79B"/>
        </patternFill>
      </fill>
      <border>
        <top style="thin">
          <color auto="1"/>
        </top>
        <bottom style="thin">
          <color auto="1"/>
        </bottom>
        <vertical/>
        <horizontal/>
      </border>
    </dxf>
    <dxf>
      <fill>
        <patternFill>
          <bgColor rgb="FFDAEAF8"/>
        </patternFill>
      </fill>
      <border>
        <top style="thin">
          <color auto="1"/>
        </top>
        <bottom style="thin">
          <color auto="1"/>
        </bottom>
        <vertical/>
        <horizontal/>
      </border>
    </dxf>
    <dxf>
      <border>
        <top style="thin">
          <color auto="1"/>
        </top>
        <vertical/>
        <horizontal/>
      </border>
    </dxf>
    <dxf>
      <font>
        <color theme="0"/>
      </font>
    </dxf>
    <dxf>
      <border>
        <right style="hair">
          <color auto="1"/>
        </right>
        <top style="hair">
          <color auto="1"/>
        </top>
        <bottom style="hair">
          <color auto="1"/>
        </bottom>
        <vertical/>
        <horizontal/>
      </border>
    </dxf>
    <dxf>
      <border>
        <right style="thin">
          <color auto="1"/>
        </right>
        <vertical/>
        <horizontal/>
      </border>
    </dxf>
    <dxf>
      <fill>
        <patternFill>
          <bgColor theme="0" tint="-0.14996795556505021"/>
        </patternFill>
      </fill>
      <border>
        <top style="thin">
          <color auto="1"/>
        </top>
        <bottom style="thin">
          <color auto="1"/>
        </bottom>
        <vertical/>
        <horizontal/>
      </border>
    </dxf>
    <dxf>
      <border>
        <right style="thin">
          <color auto="1"/>
        </right>
        <vertical/>
        <horizontal/>
      </border>
    </dxf>
    <dxf>
      <fill>
        <patternFill>
          <bgColor rgb="FFFFFFCC"/>
        </patternFill>
      </fill>
      <border>
        <vertical/>
        <horizontal/>
      </border>
    </dxf>
    <dxf>
      <border>
        <left style="hair">
          <color auto="1"/>
        </left>
        <right style="hair">
          <color auto="1"/>
        </right>
        <bottom style="hair">
          <color auto="1"/>
        </bottom>
        <vertical/>
        <horizontal/>
      </border>
    </dxf>
    <dxf>
      <border>
        <bottom style="thin">
          <color auto="1"/>
        </bottom>
        <vertical/>
        <horizontal/>
      </border>
    </dxf>
    <dxf>
      <fill>
        <patternFill>
          <bgColor rgb="FFCDACE6"/>
        </patternFill>
      </fill>
    </dxf>
    <dxf>
      <fill>
        <patternFill>
          <bgColor rgb="FFC3D79B"/>
        </patternFill>
      </fill>
    </dxf>
    <dxf>
      <fill>
        <patternFill>
          <bgColor rgb="FFDAEAF8"/>
        </patternFill>
      </fill>
    </dxf>
    <dxf>
      <border>
        <left style="thin">
          <color auto="1"/>
        </left>
        <vertical/>
        <horizontal/>
      </border>
    </dxf>
    <dxf>
      <font>
        <color rgb="FF0000CC"/>
      </font>
      <fill>
        <patternFill>
          <bgColor rgb="FFFFFFCC"/>
        </patternFill>
      </fill>
    </dxf>
    <dxf>
      <font>
        <color theme="0"/>
      </font>
      <fill>
        <patternFill>
          <bgColor theme="0"/>
        </patternFill>
      </fill>
      <border>
        <left style="thin">
          <color theme="0"/>
        </left>
        <right style="thin">
          <color theme="0"/>
        </right>
        <top style="thin">
          <color theme="0"/>
        </top>
        <bottom style="thin">
          <color theme="0"/>
        </bottom>
        <vertical/>
        <horizontal/>
      </border>
    </dxf>
    <dxf>
      <border>
        <right style="thin">
          <color auto="1"/>
        </right>
        <vertical/>
        <horizontal/>
      </border>
    </dxf>
    <dxf>
      <fill>
        <patternFill>
          <bgColor rgb="FFFFFFCC"/>
        </patternFill>
      </fill>
      <border>
        <vertical/>
        <horizontal/>
      </border>
    </dxf>
    <dxf>
      <border>
        <left style="hair">
          <color auto="1"/>
        </left>
        <right style="hair">
          <color auto="1"/>
        </right>
        <bottom style="hair">
          <color auto="1"/>
        </bottom>
        <vertical/>
        <horizontal/>
      </border>
    </dxf>
    <dxf>
      <border>
        <bottom style="thin">
          <color auto="1"/>
        </bottom>
        <vertical/>
        <horizontal/>
      </border>
    </dxf>
    <dxf>
      <fill>
        <patternFill>
          <bgColor rgb="FFCDACE6"/>
        </patternFill>
      </fill>
    </dxf>
    <dxf>
      <fill>
        <patternFill>
          <bgColor rgb="FFC3D79B"/>
        </patternFill>
      </fill>
    </dxf>
    <dxf>
      <fill>
        <patternFill>
          <bgColor rgb="FFDAEAF8"/>
        </patternFill>
      </fill>
    </dxf>
    <dxf>
      <border>
        <left style="thin">
          <color auto="1"/>
        </left>
        <vertical/>
        <horizontal/>
      </border>
    </dxf>
    <dxf>
      <font>
        <color rgb="FF0000CC"/>
      </font>
      <fill>
        <patternFill>
          <bgColor rgb="FFFFFFCC"/>
        </patternFill>
      </fill>
    </dxf>
    <dxf>
      <font>
        <color theme="0"/>
      </font>
      <fill>
        <patternFill>
          <bgColor theme="0"/>
        </patternFill>
      </fill>
      <border>
        <left style="thin">
          <color theme="0"/>
        </left>
        <right style="thin">
          <color theme="0"/>
        </right>
        <top style="thin">
          <color theme="0"/>
        </top>
        <bottom style="thin">
          <color theme="0"/>
        </bottom>
        <vertical/>
        <horizontal/>
      </border>
    </dxf>
    <dxf>
      <border>
        <right style="thin">
          <color auto="1"/>
        </right>
        <vertical/>
        <horizontal/>
      </border>
    </dxf>
    <dxf>
      <fill>
        <patternFill>
          <bgColor rgb="FFFFFFCC"/>
        </patternFill>
      </fill>
      <border>
        <vertical/>
        <horizontal/>
      </border>
    </dxf>
    <dxf>
      <border>
        <left style="hair">
          <color auto="1"/>
        </left>
        <right style="hair">
          <color auto="1"/>
        </right>
        <bottom style="hair">
          <color auto="1"/>
        </bottom>
        <vertical/>
        <horizontal/>
      </border>
    </dxf>
    <dxf>
      <border>
        <bottom style="thin">
          <color auto="1"/>
        </bottom>
        <vertical/>
        <horizontal/>
      </border>
    </dxf>
    <dxf>
      <fill>
        <patternFill>
          <bgColor rgb="FFCDACE6"/>
        </patternFill>
      </fill>
    </dxf>
    <dxf>
      <fill>
        <patternFill>
          <bgColor rgb="FFC3D79B"/>
        </patternFill>
      </fill>
    </dxf>
    <dxf>
      <fill>
        <patternFill>
          <bgColor rgb="FFDAEAF8"/>
        </patternFill>
      </fill>
    </dxf>
    <dxf>
      <border>
        <left style="thin">
          <color auto="1"/>
        </left>
        <vertical/>
        <horizontal/>
      </border>
    </dxf>
    <dxf>
      <font>
        <color rgb="FF0000CC"/>
      </font>
      <fill>
        <patternFill>
          <bgColor rgb="FFFFFFCC"/>
        </patternFill>
      </fill>
    </dxf>
    <dxf>
      <font>
        <color theme="0"/>
      </font>
      <fill>
        <patternFill>
          <bgColor theme="0"/>
        </patternFill>
      </fill>
      <border>
        <left style="thin">
          <color theme="0"/>
        </left>
        <right style="thin">
          <color theme="0"/>
        </right>
        <top style="thin">
          <color theme="0"/>
        </top>
        <bottom style="thin">
          <color theme="0"/>
        </bottom>
        <vertical/>
        <horizontal/>
      </border>
    </dxf>
    <dxf>
      <border>
        <right style="thin">
          <color auto="1"/>
        </right>
        <vertical/>
        <horizontal/>
      </border>
    </dxf>
    <dxf>
      <fill>
        <patternFill>
          <bgColor rgb="FFFFFFCC"/>
        </patternFill>
      </fill>
      <border>
        <vertical/>
        <horizontal/>
      </border>
    </dxf>
    <dxf>
      <border>
        <left style="hair">
          <color auto="1"/>
        </left>
        <right style="hair">
          <color auto="1"/>
        </right>
        <bottom style="hair">
          <color auto="1"/>
        </bottom>
        <vertical/>
        <horizontal/>
      </border>
    </dxf>
    <dxf>
      <border>
        <bottom style="thin">
          <color auto="1"/>
        </bottom>
        <vertical/>
        <horizontal/>
      </border>
    </dxf>
    <dxf>
      <fill>
        <patternFill>
          <bgColor rgb="FFCDACE6"/>
        </patternFill>
      </fill>
    </dxf>
    <dxf>
      <fill>
        <patternFill>
          <bgColor rgb="FFC3D79B"/>
        </patternFill>
      </fill>
    </dxf>
    <dxf>
      <fill>
        <patternFill>
          <bgColor rgb="FFDAEAF8"/>
        </patternFill>
      </fill>
    </dxf>
    <dxf>
      <border>
        <left style="thin">
          <color auto="1"/>
        </left>
        <vertical/>
        <horizontal/>
      </border>
    </dxf>
    <dxf>
      <font>
        <color rgb="FF0000CC"/>
      </font>
      <fill>
        <patternFill>
          <bgColor rgb="FFFFFFCC"/>
        </patternFill>
      </fill>
    </dxf>
    <dxf>
      <font>
        <color theme="0"/>
      </font>
      <fill>
        <patternFill>
          <bgColor theme="0"/>
        </patternFill>
      </fill>
      <border>
        <left style="thin">
          <color theme="0"/>
        </left>
        <right style="thin">
          <color theme="0"/>
        </right>
        <top style="thin">
          <color theme="0"/>
        </top>
        <bottom style="thin">
          <color theme="0"/>
        </bottom>
        <vertical/>
        <horizontal/>
      </border>
    </dxf>
    <dxf>
      <border>
        <right style="thin">
          <color auto="1"/>
        </right>
        <vertical/>
        <horizontal/>
      </border>
    </dxf>
    <dxf>
      <fill>
        <patternFill>
          <bgColor rgb="FFFFFFCC"/>
        </patternFill>
      </fill>
      <border>
        <vertical/>
        <horizontal/>
      </border>
    </dxf>
    <dxf>
      <border>
        <left style="hair">
          <color auto="1"/>
        </left>
        <right style="hair">
          <color auto="1"/>
        </right>
        <bottom style="hair">
          <color auto="1"/>
        </bottom>
        <vertical/>
        <horizontal/>
      </border>
    </dxf>
    <dxf>
      <border>
        <bottom style="thin">
          <color auto="1"/>
        </bottom>
        <vertical/>
        <horizontal/>
      </border>
    </dxf>
    <dxf>
      <fill>
        <patternFill>
          <bgColor rgb="FFCDACE6"/>
        </patternFill>
      </fill>
    </dxf>
    <dxf>
      <fill>
        <patternFill>
          <bgColor rgb="FFC3D79B"/>
        </patternFill>
      </fill>
    </dxf>
    <dxf>
      <fill>
        <patternFill>
          <bgColor rgb="FFDAEAF8"/>
        </patternFill>
      </fill>
    </dxf>
    <dxf>
      <border>
        <left style="thin">
          <color auto="1"/>
        </left>
        <vertical/>
        <horizontal/>
      </border>
    </dxf>
    <dxf>
      <font>
        <color rgb="FF0000CC"/>
      </font>
      <fill>
        <patternFill>
          <bgColor rgb="FFFFFFCC"/>
        </patternFill>
      </fill>
    </dxf>
    <dxf>
      <font>
        <color theme="0"/>
      </font>
      <fill>
        <patternFill>
          <bgColor theme="0"/>
        </patternFill>
      </fill>
      <border>
        <left style="thin">
          <color theme="0"/>
        </left>
        <right style="thin">
          <color theme="0"/>
        </right>
        <top style="thin">
          <color theme="0"/>
        </top>
        <bottom style="thin">
          <color theme="0"/>
        </bottom>
        <vertical/>
        <horizontal/>
      </border>
    </dxf>
    <dxf>
      <border>
        <right style="thin">
          <color auto="1"/>
        </right>
        <vertical/>
        <horizontal/>
      </border>
    </dxf>
    <dxf>
      <fill>
        <patternFill>
          <bgColor rgb="FFFFFFCC"/>
        </patternFill>
      </fill>
      <border>
        <vertical/>
        <horizontal/>
      </border>
    </dxf>
    <dxf>
      <border>
        <left style="hair">
          <color auto="1"/>
        </left>
        <right style="hair">
          <color auto="1"/>
        </right>
        <bottom style="hair">
          <color auto="1"/>
        </bottom>
        <vertical/>
        <horizontal/>
      </border>
    </dxf>
    <dxf>
      <border>
        <bottom style="thin">
          <color auto="1"/>
        </bottom>
        <vertical/>
        <horizontal/>
      </border>
    </dxf>
    <dxf>
      <fill>
        <patternFill>
          <bgColor rgb="FFCDACE6"/>
        </patternFill>
      </fill>
    </dxf>
    <dxf>
      <fill>
        <patternFill>
          <bgColor rgb="FFC3D79B"/>
        </patternFill>
      </fill>
    </dxf>
    <dxf>
      <fill>
        <patternFill>
          <bgColor rgb="FFDAEAF8"/>
        </patternFill>
      </fill>
    </dxf>
    <dxf>
      <border>
        <left style="thin">
          <color auto="1"/>
        </left>
        <vertical/>
        <horizontal/>
      </border>
    </dxf>
    <dxf>
      <font>
        <color rgb="FF0000CC"/>
      </font>
      <fill>
        <patternFill>
          <bgColor rgb="FFFFFFCC"/>
        </patternFill>
      </fill>
    </dxf>
    <dxf>
      <font>
        <color theme="0"/>
      </font>
      <fill>
        <patternFill>
          <bgColor theme="0"/>
        </patternFill>
      </fill>
      <border>
        <left style="thin">
          <color theme="0"/>
        </left>
        <right style="thin">
          <color theme="0"/>
        </right>
        <top style="thin">
          <color theme="0"/>
        </top>
        <bottom style="thin">
          <color theme="0"/>
        </bottom>
        <vertical/>
        <horizontal/>
      </border>
    </dxf>
    <dxf>
      <border>
        <right style="thin">
          <color auto="1"/>
        </right>
        <vertical/>
        <horizontal/>
      </border>
    </dxf>
    <dxf>
      <fill>
        <patternFill>
          <bgColor rgb="FFFFFFCC"/>
        </patternFill>
      </fill>
      <border>
        <vertical/>
        <horizontal/>
      </border>
    </dxf>
    <dxf>
      <border>
        <left style="hair">
          <color auto="1"/>
        </left>
        <right style="hair">
          <color auto="1"/>
        </right>
        <bottom style="hair">
          <color auto="1"/>
        </bottom>
        <vertical/>
        <horizontal/>
      </border>
    </dxf>
    <dxf>
      <border>
        <bottom style="thin">
          <color auto="1"/>
        </bottom>
        <vertical/>
        <horizontal/>
      </border>
    </dxf>
    <dxf>
      <fill>
        <patternFill>
          <bgColor rgb="FFCDACE6"/>
        </patternFill>
      </fill>
    </dxf>
    <dxf>
      <fill>
        <patternFill>
          <bgColor rgb="FFC3D79B"/>
        </patternFill>
      </fill>
    </dxf>
    <dxf>
      <fill>
        <patternFill>
          <bgColor rgb="FFDAEAF8"/>
        </patternFill>
      </fill>
    </dxf>
    <dxf>
      <border>
        <left style="thin">
          <color auto="1"/>
        </left>
        <vertical/>
        <horizontal/>
      </border>
    </dxf>
    <dxf>
      <font>
        <color rgb="FF0000CC"/>
      </font>
      <fill>
        <patternFill>
          <bgColor rgb="FFFFFFCC"/>
        </patternFill>
      </fill>
    </dxf>
    <dxf>
      <font>
        <color theme="0"/>
      </font>
      <fill>
        <patternFill>
          <bgColor theme="0"/>
        </patternFill>
      </fill>
      <border>
        <left style="thin">
          <color theme="0"/>
        </left>
        <right style="thin">
          <color theme="0"/>
        </right>
        <top style="thin">
          <color theme="0"/>
        </top>
        <bottom style="thin">
          <color theme="0"/>
        </bottom>
        <vertical/>
        <horizontal/>
      </border>
    </dxf>
    <dxf>
      <border>
        <right style="thin">
          <color auto="1"/>
        </right>
        <vertical/>
        <horizontal/>
      </border>
    </dxf>
    <dxf>
      <fill>
        <patternFill>
          <bgColor rgb="FFFFFFCC"/>
        </patternFill>
      </fill>
      <border>
        <vertical/>
        <horizontal/>
      </border>
    </dxf>
    <dxf>
      <border>
        <left style="hair">
          <color auto="1"/>
        </left>
        <right style="hair">
          <color auto="1"/>
        </right>
        <bottom style="hair">
          <color auto="1"/>
        </bottom>
        <vertical/>
        <horizontal/>
      </border>
    </dxf>
    <dxf>
      <border>
        <bottom style="thin">
          <color auto="1"/>
        </bottom>
        <vertical/>
        <horizontal/>
      </border>
    </dxf>
    <dxf>
      <fill>
        <patternFill>
          <bgColor rgb="FFCDACE6"/>
        </patternFill>
      </fill>
    </dxf>
    <dxf>
      <fill>
        <patternFill>
          <bgColor rgb="FFC3D79B"/>
        </patternFill>
      </fill>
    </dxf>
    <dxf>
      <fill>
        <patternFill>
          <bgColor rgb="FFDAEAF8"/>
        </patternFill>
      </fill>
    </dxf>
    <dxf>
      <border>
        <left style="thin">
          <color auto="1"/>
        </left>
        <vertical/>
        <horizontal/>
      </border>
    </dxf>
    <dxf>
      <font>
        <color rgb="FF0000CC"/>
      </font>
      <fill>
        <patternFill>
          <bgColor rgb="FFFFFFCC"/>
        </patternFill>
      </fill>
    </dxf>
    <dxf>
      <font>
        <color theme="0"/>
      </font>
      <fill>
        <patternFill>
          <bgColor theme="0"/>
        </patternFill>
      </fill>
      <border>
        <left/>
        <right/>
        <bottom/>
        <vertical/>
        <horizontal/>
      </border>
    </dxf>
    <dxf>
      <font>
        <color rgb="FF0000CC"/>
      </font>
      <numFmt numFmtId="164" formatCode="m/d/yy;@"/>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numFmt numFmtId="164" formatCode="m/d/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center" vertical="center" textRotation="0" wrapText="1" indent="0" justifyLastLine="0" shrinkToFit="0" readingOrder="0"/>
      <protection locked="0" hidden="0"/>
    </dxf>
    <dxf>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border outline="0">
        <bottom style="thin">
          <color indexed="64"/>
        </bottom>
      </border>
    </dxf>
    <dxf>
      <fill>
        <patternFill patternType="solid">
          <fgColor indexed="64"/>
          <bgColor rgb="FFCDACE6"/>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dxf>
    <dxf>
      <font>
        <b/>
        <i val="0"/>
        <strike val="0"/>
        <condense val="0"/>
        <extend val="0"/>
        <outline val="0"/>
        <shadow val="0"/>
        <u val="none"/>
        <vertAlign val="baseline"/>
        <sz val="14"/>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0" hidden="0"/>
    </dxf>
    <dxf>
      <font>
        <b/>
        <i val="0"/>
        <strike val="0"/>
        <condense val="0"/>
        <extend val="0"/>
        <outline val="0"/>
        <shadow val="0"/>
        <u val="none"/>
        <vertAlign val="baseline"/>
        <sz val="14"/>
        <color theme="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hair">
          <color auto="1"/>
        </left>
        <right style="thin">
          <color indexed="64"/>
        </right>
        <top style="hair">
          <color auto="1"/>
        </top>
        <bottom style="hair">
          <color auto="1"/>
        </bottom>
      </border>
      <protection locked="0" hidden="0"/>
    </dxf>
    <dxf>
      <font>
        <b/>
        <i val="0"/>
        <strike val="0"/>
        <condense val="0"/>
        <extend val="0"/>
        <outline val="0"/>
        <shadow val="0"/>
        <u val="none"/>
        <vertAlign val="baseline"/>
        <sz val="14"/>
        <color rgb="FF0000CC"/>
        <name val="Aptos Narrow"/>
        <family val="2"/>
        <scheme val="minor"/>
      </font>
      <numFmt numFmtId="0" formatCode="General"/>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i val="0"/>
        <strike val="0"/>
        <condense val="0"/>
        <extend val="0"/>
        <outline val="0"/>
        <shadow val="0"/>
        <u val="none"/>
        <vertAlign val="baseline"/>
        <sz val="12"/>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alignment horizontal="left" vertical="center" textRotation="0" wrapText="1" indent="0" justifyLastLine="0" shrinkToFit="0" readingOrder="0"/>
      <border diagonalUp="0" diagonalDown="0" outline="0">
        <left style="hair">
          <color auto="1"/>
        </left>
        <right style="thin">
          <color indexed="64"/>
        </right>
        <top style="hair">
          <color auto="1"/>
        </top>
        <bottom style="hair">
          <color auto="1"/>
        </bottom>
      </border>
    </dxf>
    <dxf>
      <fill>
        <patternFill patternType="solid">
          <fgColor indexed="64"/>
          <bgColor rgb="FFCDACE6"/>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dxf>
    <dxf>
      <font>
        <b/>
        <sz val="14"/>
        <color rgb="FF0000CC"/>
      </font>
      <fill>
        <patternFill patternType="solid">
          <fgColor indexed="64"/>
          <bgColor rgb="FFCDACE6"/>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0" hidden="0"/>
    </dxf>
    <dxf>
      <border outline="0">
        <left style="thin">
          <color rgb="FF000000"/>
        </left>
        <right style="thin">
          <color rgb="FF000000"/>
        </right>
        <top style="thin">
          <color auto="1"/>
        </top>
        <bottom style="thin">
          <color rgb="FF000000"/>
        </bottom>
      </border>
    </dxf>
    <dxf>
      <border>
        <bottom style="thin">
          <color rgb="FF000000"/>
        </bottom>
      </border>
    </dxf>
    <dxf>
      <alignment vertical="top" textRotation="0" indent="0" justifyLastLine="0" shrinkToFit="0" readingOrder="0"/>
      <border diagonalUp="0" diagonalDown="0" outline="0">
        <left style="hair">
          <color indexed="64"/>
        </left>
        <right style="hair">
          <color indexed="64"/>
        </right>
        <top/>
        <bottom/>
      </border>
    </dxf>
    <dxf>
      <font>
        <color rgb="FF0000CC"/>
      </font>
      <numFmt numFmtId="164" formatCode="m/d/yy;@"/>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numFmt numFmtId="164" formatCode="m/d/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center" vertical="center" textRotation="0" wrapText="1" indent="0" justifyLastLine="0" shrinkToFit="0" readingOrder="0"/>
      <protection locked="0" hidden="0"/>
    </dxf>
    <dxf>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border outline="0">
        <bottom style="thin">
          <color indexed="64"/>
        </bottom>
      </border>
    </dxf>
    <dxf>
      <fill>
        <patternFill patternType="solid">
          <fgColor indexed="64"/>
          <bgColor rgb="FFCDACE6"/>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dxf>
    <dxf>
      <font>
        <b/>
        <i val="0"/>
        <strike val="0"/>
        <condense val="0"/>
        <extend val="0"/>
        <outline val="0"/>
        <shadow val="0"/>
        <u val="none"/>
        <vertAlign val="baseline"/>
        <sz val="14"/>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0" hidden="0"/>
    </dxf>
    <dxf>
      <font>
        <b/>
        <i val="0"/>
        <strike val="0"/>
        <condense val="0"/>
        <extend val="0"/>
        <outline val="0"/>
        <shadow val="0"/>
        <u val="none"/>
        <vertAlign val="baseline"/>
        <sz val="14"/>
        <color theme="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hair">
          <color auto="1"/>
        </left>
        <right style="thin">
          <color indexed="64"/>
        </right>
        <top style="hair">
          <color auto="1"/>
        </top>
        <bottom style="hair">
          <color auto="1"/>
        </bottom>
      </border>
      <protection locked="0" hidden="0"/>
    </dxf>
    <dxf>
      <font>
        <b/>
        <i val="0"/>
        <strike val="0"/>
        <condense val="0"/>
        <extend val="0"/>
        <outline val="0"/>
        <shadow val="0"/>
        <u val="none"/>
        <vertAlign val="baseline"/>
        <sz val="14"/>
        <color rgb="FF0000CC"/>
        <name val="Aptos Narrow"/>
        <family val="2"/>
        <scheme val="minor"/>
      </font>
      <numFmt numFmtId="0" formatCode="General"/>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i val="0"/>
        <strike val="0"/>
        <condense val="0"/>
        <extend val="0"/>
        <outline val="0"/>
        <shadow val="0"/>
        <u val="none"/>
        <vertAlign val="baseline"/>
        <sz val="12"/>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alignment horizontal="left" vertical="center" textRotation="0" wrapText="1" indent="0" justifyLastLine="0" shrinkToFit="0" readingOrder="0"/>
      <border diagonalUp="0" diagonalDown="0" outline="0">
        <left style="hair">
          <color auto="1"/>
        </left>
        <right style="thin">
          <color indexed="64"/>
        </right>
        <top style="hair">
          <color auto="1"/>
        </top>
        <bottom style="hair">
          <color auto="1"/>
        </bottom>
      </border>
    </dxf>
    <dxf>
      <fill>
        <patternFill patternType="solid">
          <fgColor indexed="64"/>
          <bgColor rgb="FFCDACE6"/>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dxf>
    <dxf>
      <font>
        <b/>
        <sz val="14"/>
        <color rgb="FF0000CC"/>
      </font>
      <fill>
        <patternFill patternType="solid">
          <fgColor indexed="64"/>
          <bgColor rgb="FFCDACE6"/>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0" hidden="0"/>
    </dxf>
    <dxf>
      <border outline="0">
        <left style="thin">
          <color rgb="FF000000"/>
        </left>
        <right style="thin">
          <color rgb="FF000000"/>
        </right>
        <top style="thin">
          <color auto="1"/>
        </top>
        <bottom style="thin">
          <color rgb="FF000000"/>
        </bottom>
      </border>
    </dxf>
    <dxf>
      <border>
        <bottom style="thin">
          <color rgb="FF000000"/>
        </bottom>
      </border>
    </dxf>
    <dxf>
      <alignment vertical="top" textRotation="0" indent="0" justifyLastLine="0" shrinkToFit="0" readingOrder="0"/>
      <border diagonalUp="0" diagonalDown="0" outline="0">
        <left style="hair">
          <color indexed="64"/>
        </left>
        <right style="hair">
          <color indexed="64"/>
        </right>
        <top/>
        <bottom/>
      </border>
    </dxf>
    <dxf>
      <font>
        <color rgb="FF0000CC"/>
      </font>
      <numFmt numFmtId="164" formatCode="m/d/yy;@"/>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numFmt numFmtId="164" formatCode="m/d/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center" vertical="center" textRotation="0" wrapText="1" indent="0" justifyLastLine="0" shrinkToFit="0" readingOrder="0"/>
      <protection locked="0" hidden="0"/>
    </dxf>
    <dxf>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border outline="0">
        <bottom style="thin">
          <color indexed="64"/>
        </bottom>
      </border>
    </dxf>
    <dxf>
      <fill>
        <patternFill patternType="solid">
          <fgColor indexed="64"/>
          <bgColor rgb="FFCDACE6"/>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dxf>
    <dxf>
      <font>
        <b/>
        <i val="0"/>
        <strike val="0"/>
        <condense val="0"/>
        <extend val="0"/>
        <outline val="0"/>
        <shadow val="0"/>
        <u val="none"/>
        <vertAlign val="baseline"/>
        <sz val="14"/>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0" hidden="0"/>
    </dxf>
    <dxf>
      <font>
        <b/>
        <i val="0"/>
        <strike val="0"/>
        <condense val="0"/>
        <extend val="0"/>
        <outline val="0"/>
        <shadow val="0"/>
        <u val="none"/>
        <vertAlign val="baseline"/>
        <sz val="14"/>
        <color theme="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hair">
          <color auto="1"/>
        </left>
        <right style="thin">
          <color indexed="64"/>
        </right>
        <top style="hair">
          <color auto="1"/>
        </top>
        <bottom style="hair">
          <color auto="1"/>
        </bottom>
      </border>
      <protection locked="0" hidden="0"/>
    </dxf>
    <dxf>
      <font>
        <b/>
        <i val="0"/>
        <strike val="0"/>
        <condense val="0"/>
        <extend val="0"/>
        <outline val="0"/>
        <shadow val="0"/>
        <u val="none"/>
        <vertAlign val="baseline"/>
        <sz val="14"/>
        <color rgb="FF0000CC"/>
        <name val="Aptos Narrow"/>
        <family val="2"/>
        <scheme val="minor"/>
      </font>
      <numFmt numFmtId="0" formatCode="General"/>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i val="0"/>
        <strike val="0"/>
        <condense val="0"/>
        <extend val="0"/>
        <outline val="0"/>
        <shadow val="0"/>
        <u val="none"/>
        <vertAlign val="baseline"/>
        <sz val="12"/>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alignment horizontal="left" vertical="center" textRotation="0" wrapText="1" indent="0" justifyLastLine="0" shrinkToFit="0" readingOrder="0"/>
      <border diagonalUp="0" diagonalDown="0" outline="0">
        <left style="hair">
          <color auto="1"/>
        </left>
        <right style="thin">
          <color indexed="64"/>
        </right>
        <top style="hair">
          <color auto="1"/>
        </top>
        <bottom style="hair">
          <color auto="1"/>
        </bottom>
      </border>
    </dxf>
    <dxf>
      <fill>
        <patternFill patternType="solid">
          <fgColor indexed="64"/>
          <bgColor rgb="FFCDACE6"/>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dxf>
    <dxf>
      <font>
        <b/>
        <sz val="14"/>
        <color rgb="FF0000CC"/>
      </font>
      <fill>
        <patternFill patternType="solid">
          <fgColor indexed="64"/>
          <bgColor rgb="FFCDACE6"/>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0" hidden="0"/>
    </dxf>
    <dxf>
      <border outline="0">
        <left style="thin">
          <color rgb="FF000000"/>
        </left>
        <right style="thin">
          <color rgb="FF000000"/>
        </right>
        <top style="thin">
          <color auto="1"/>
        </top>
        <bottom style="thin">
          <color rgb="FF000000"/>
        </bottom>
      </border>
    </dxf>
    <dxf>
      <border>
        <bottom style="thin">
          <color rgb="FF000000"/>
        </bottom>
      </border>
    </dxf>
    <dxf>
      <alignment vertical="top" textRotation="0" indent="0" justifyLastLine="0" shrinkToFit="0" readingOrder="0"/>
      <border diagonalUp="0" diagonalDown="0" outline="0">
        <left style="hair">
          <color indexed="64"/>
        </left>
        <right style="hair">
          <color indexed="64"/>
        </right>
        <top/>
        <bottom/>
      </border>
    </dxf>
    <dxf>
      <font>
        <color rgb="FF0000CC"/>
      </font>
      <numFmt numFmtId="164" formatCode="m/d/yy;@"/>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numFmt numFmtId="164" formatCode="m/d/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center" vertical="center" textRotation="0" wrapText="1" indent="0" justifyLastLine="0" shrinkToFit="0" readingOrder="0"/>
      <protection locked="0" hidden="0"/>
    </dxf>
    <dxf>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border outline="0">
        <bottom style="thin">
          <color indexed="64"/>
        </bottom>
      </border>
    </dxf>
    <dxf>
      <fill>
        <patternFill patternType="solid">
          <fgColor indexed="64"/>
          <bgColor rgb="FFCDACE6"/>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dxf>
    <dxf>
      <font>
        <b/>
        <i val="0"/>
        <strike val="0"/>
        <condense val="0"/>
        <extend val="0"/>
        <outline val="0"/>
        <shadow val="0"/>
        <u val="none"/>
        <vertAlign val="baseline"/>
        <sz val="14"/>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0" hidden="0"/>
    </dxf>
    <dxf>
      <font>
        <b/>
        <i val="0"/>
        <strike val="0"/>
        <condense val="0"/>
        <extend val="0"/>
        <outline val="0"/>
        <shadow val="0"/>
        <u val="none"/>
        <vertAlign val="baseline"/>
        <sz val="14"/>
        <color theme="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hair">
          <color auto="1"/>
        </left>
        <right style="thin">
          <color indexed="64"/>
        </right>
        <top style="hair">
          <color auto="1"/>
        </top>
        <bottom style="hair">
          <color auto="1"/>
        </bottom>
      </border>
      <protection locked="0" hidden="0"/>
    </dxf>
    <dxf>
      <font>
        <b/>
        <i val="0"/>
        <strike val="0"/>
        <condense val="0"/>
        <extend val="0"/>
        <outline val="0"/>
        <shadow val="0"/>
        <u val="none"/>
        <vertAlign val="baseline"/>
        <sz val="14"/>
        <color rgb="FF0000CC"/>
        <name val="Aptos Narrow"/>
        <family val="2"/>
        <scheme val="minor"/>
      </font>
      <numFmt numFmtId="0" formatCode="General"/>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i val="0"/>
        <strike val="0"/>
        <condense val="0"/>
        <extend val="0"/>
        <outline val="0"/>
        <shadow val="0"/>
        <u val="none"/>
        <vertAlign val="baseline"/>
        <sz val="12"/>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alignment horizontal="left" vertical="center" textRotation="0" wrapText="1" indent="0" justifyLastLine="0" shrinkToFit="0" readingOrder="0"/>
      <border diagonalUp="0" diagonalDown="0" outline="0">
        <left style="hair">
          <color auto="1"/>
        </left>
        <right style="thin">
          <color indexed="64"/>
        </right>
        <top style="hair">
          <color auto="1"/>
        </top>
        <bottom style="hair">
          <color auto="1"/>
        </bottom>
      </border>
    </dxf>
    <dxf>
      <fill>
        <patternFill patternType="solid">
          <fgColor indexed="64"/>
          <bgColor rgb="FFCDACE6"/>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dxf>
    <dxf>
      <font>
        <b/>
        <sz val="14"/>
        <color rgb="FF0000CC"/>
      </font>
      <fill>
        <patternFill patternType="solid">
          <fgColor indexed="64"/>
          <bgColor rgb="FFCDACE6"/>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0" hidden="0"/>
    </dxf>
    <dxf>
      <border outline="0">
        <left style="thin">
          <color rgb="FF000000"/>
        </left>
        <right style="thin">
          <color rgb="FF000000"/>
        </right>
        <top style="thin">
          <color auto="1"/>
        </top>
        <bottom style="thin">
          <color rgb="FF000000"/>
        </bottom>
      </border>
    </dxf>
    <dxf>
      <border>
        <bottom style="thin">
          <color rgb="FF000000"/>
        </bottom>
      </border>
    </dxf>
    <dxf>
      <alignment vertical="top" textRotation="0" indent="0" justifyLastLine="0" shrinkToFit="0" readingOrder="0"/>
      <border diagonalUp="0" diagonalDown="0" outline="0">
        <left style="hair">
          <color indexed="64"/>
        </left>
        <right style="hair">
          <color indexed="64"/>
        </right>
        <top/>
        <bottom/>
      </border>
    </dxf>
    <dxf>
      <font>
        <color rgb="FF0000CC"/>
      </font>
      <numFmt numFmtId="164" formatCode="m/d/yy;@"/>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numFmt numFmtId="164" formatCode="m/d/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center" vertical="center" textRotation="0" wrapText="1" indent="0" justifyLastLine="0" shrinkToFit="0" readingOrder="0"/>
      <protection locked="0" hidden="0"/>
    </dxf>
    <dxf>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border outline="0">
        <bottom style="thin">
          <color indexed="64"/>
        </bottom>
      </border>
    </dxf>
    <dxf>
      <fill>
        <patternFill patternType="solid">
          <fgColor indexed="64"/>
          <bgColor rgb="FFCDACE6"/>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dxf>
    <dxf>
      <font>
        <b/>
        <i val="0"/>
        <strike val="0"/>
        <condense val="0"/>
        <extend val="0"/>
        <outline val="0"/>
        <shadow val="0"/>
        <u val="none"/>
        <vertAlign val="baseline"/>
        <sz val="14"/>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0" hidden="0"/>
    </dxf>
    <dxf>
      <font>
        <b/>
        <i val="0"/>
        <strike val="0"/>
        <condense val="0"/>
        <extend val="0"/>
        <outline val="0"/>
        <shadow val="0"/>
        <u val="none"/>
        <vertAlign val="baseline"/>
        <sz val="14"/>
        <color theme="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hair">
          <color auto="1"/>
        </left>
        <right style="thin">
          <color indexed="64"/>
        </right>
        <top style="hair">
          <color auto="1"/>
        </top>
        <bottom style="hair">
          <color auto="1"/>
        </bottom>
      </border>
      <protection locked="0" hidden="0"/>
    </dxf>
    <dxf>
      <font>
        <b/>
        <i val="0"/>
        <strike val="0"/>
        <condense val="0"/>
        <extend val="0"/>
        <outline val="0"/>
        <shadow val="0"/>
        <u val="none"/>
        <vertAlign val="baseline"/>
        <sz val="14"/>
        <color rgb="FF0000CC"/>
        <name val="Aptos Narrow"/>
        <family val="2"/>
        <scheme val="minor"/>
      </font>
      <numFmt numFmtId="0" formatCode="General"/>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i val="0"/>
        <strike val="0"/>
        <condense val="0"/>
        <extend val="0"/>
        <outline val="0"/>
        <shadow val="0"/>
        <u val="none"/>
        <vertAlign val="baseline"/>
        <sz val="12"/>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alignment horizontal="left" vertical="center" textRotation="0" wrapText="1" indent="0" justifyLastLine="0" shrinkToFit="0" readingOrder="0"/>
      <border diagonalUp="0" diagonalDown="0" outline="0">
        <left style="hair">
          <color auto="1"/>
        </left>
        <right style="thin">
          <color indexed="64"/>
        </right>
        <top style="hair">
          <color auto="1"/>
        </top>
        <bottom style="hair">
          <color auto="1"/>
        </bottom>
      </border>
    </dxf>
    <dxf>
      <fill>
        <patternFill patternType="solid">
          <fgColor indexed="64"/>
          <bgColor rgb="FFCDACE6"/>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dxf>
    <dxf>
      <font>
        <b/>
        <sz val="14"/>
        <color rgb="FF0000CC"/>
      </font>
      <fill>
        <patternFill patternType="solid">
          <fgColor indexed="64"/>
          <bgColor rgb="FFCDACE6"/>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0" hidden="0"/>
    </dxf>
    <dxf>
      <border outline="0">
        <left style="thin">
          <color rgb="FF000000"/>
        </left>
        <right style="thin">
          <color rgb="FF000000"/>
        </right>
        <top style="thin">
          <color auto="1"/>
        </top>
        <bottom style="thin">
          <color rgb="FF000000"/>
        </bottom>
      </border>
    </dxf>
    <dxf>
      <border>
        <bottom style="thin">
          <color rgb="FF000000"/>
        </bottom>
      </border>
    </dxf>
    <dxf>
      <alignment vertical="top" textRotation="0" indent="0" justifyLastLine="0" shrinkToFit="0" readingOrder="0"/>
      <border diagonalUp="0" diagonalDown="0" outline="0">
        <left style="hair">
          <color indexed="64"/>
        </left>
        <right style="hair">
          <color indexed="64"/>
        </right>
        <top/>
        <bottom/>
      </border>
    </dxf>
    <dxf>
      <font>
        <color rgb="FF0000CC"/>
      </font>
      <numFmt numFmtId="164" formatCode="m/d/yy;@"/>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numFmt numFmtId="164" formatCode="m/d/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center" vertical="center" textRotation="0" wrapText="1" indent="0" justifyLastLine="0" shrinkToFit="0" readingOrder="0"/>
      <protection locked="0" hidden="0"/>
    </dxf>
    <dxf>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border outline="0">
        <bottom style="thin">
          <color indexed="64"/>
        </bottom>
      </border>
    </dxf>
    <dxf>
      <fill>
        <patternFill patternType="solid">
          <fgColor indexed="64"/>
          <bgColor rgb="FFCDACE6"/>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dxf>
    <dxf>
      <font>
        <b/>
        <i val="0"/>
        <strike val="0"/>
        <condense val="0"/>
        <extend val="0"/>
        <outline val="0"/>
        <shadow val="0"/>
        <u val="none"/>
        <vertAlign val="baseline"/>
        <sz val="14"/>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0" hidden="0"/>
    </dxf>
    <dxf>
      <font>
        <b/>
        <i val="0"/>
        <strike val="0"/>
        <condense val="0"/>
        <extend val="0"/>
        <outline val="0"/>
        <shadow val="0"/>
        <u val="none"/>
        <vertAlign val="baseline"/>
        <sz val="14"/>
        <color theme="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hair">
          <color auto="1"/>
        </left>
        <right style="thin">
          <color indexed="64"/>
        </right>
        <top style="hair">
          <color auto="1"/>
        </top>
        <bottom style="hair">
          <color auto="1"/>
        </bottom>
      </border>
      <protection locked="0" hidden="0"/>
    </dxf>
    <dxf>
      <font>
        <b/>
        <i val="0"/>
        <strike val="0"/>
        <condense val="0"/>
        <extend val="0"/>
        <outline val="0"/>
        <shadow val="0"/>
        <u val="none"/>
        <vertAlign val="baseline"/>
        <sz val="14"/>
        <color rgb="FF0000CC"/>
        <name val="Aptos Narrow"/>
        <family val="2"/>
        <scheme val="minor"/>
      </font>
      <numFmt numFmtId="0" formatCode="General"/>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i val="0"/>
        <strike val="0"/>
        <condense val="0"/>
        <extend val="0"/>
        <outline val="0"/>
        <shadow val="0"/>
        <u val="none"/>
        <vertAlign val="baseline"/>
        <sz val="12"/>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alignment horizontal="left" vertical="center" textRotation="0" wrapText="1" indent="0" justifyLastLine="0" shrinkToFit="0" readingOrder="0"/>
      <border diagonalUp="0" diagonalDown="0" outline="0">
        <left style="hair">
          <color auto="1"/>
        </left>
        <right style="thin">
          <color indexed="64"/>
        </right>
        <top style="hair">
          <color auto="1"/>
        </top>
        <bottom style="hair">
          <color auto="1"/>
        </bottom>
      </border>
    </dxf>
    <dxf>
      <fill>
        <patternFill patternType="solid">
          <fgColor indexed="64"/>
          <bgColor rgb="FFCDACE6"/>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dxf>
    <dxf>
      <font>
        <b/>
        <sz val="14"/>
        <color rgb="FF0000CC"/>
      </font>
      <fill>
        <patternFill patternType="solid">
          <fgColor indexed="64"/>
          <bgColor rgb="FFCDACE6"/>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0" hidden="0"/>
    </dxf>
    <dxf>
      <border outline="0">
        <left style="thin">
          <color rgb="FF000000"/>
        </left>
        <right style="thin">
          <color rgb="FF000000"/>
        </right>
        <top style="thin">
          <color auto="1"/>
        </top>
        <bottom style="thin">
          <color rgb="FF000000"/>
        </bottom>
      </border>
    </dxf>
    <dxf>
      <border>
        <bottom style="thin">
          <color rgb="FF000000"/>
        </bottom>
      </border>
    </dxf>
    <dxf>
      <alignment vertical="top" textRotation="0" indent="0" justifyLastLine="0" shrinkToFit="0" readingOrder="0"/>
      <border diagonalUp="0" diagonalDown="0" outline="0">
        <left style="hair">
          <color indexed="64"/>
        </left>
        <right style="hair">
          <color indexed="64"/>
        </right>
        <top/>
        <bottom/>
      </border>
    </dxf>
    <dxf>
      <font>
        <color rgb="FF0000CC"/>
      </font>
      <numFmt numFmtId="164" formatCode="m/d/yy;@"/>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numFmt numFmtId="164" formatCode="m/d/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center" vertical="center" textRotation="0" wrapText="1" indent="0" justifyLastLine="0" shrinkToFit="0" readingOrder="0"/>
      <protection locked="0" hidden="0"/>
    </dxf>
    <dxf>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border outline="0">
        <bottom style="thin">
          <color indexed="64"/>
        </bottom>
      </border>
    </dxf>
    <dxf>
      <fill>
        <patternFill patternType="solid">
          <fgColor indexed="64"/>
          <bgColor rgb="FFCDACE6"/>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dxf>
    <dxf>
      <font>
        <b/>
        <i val="0"/>
        <strike val="0"/>
        <condense val="0"/>
        <extend val="0"/>
        <outline val="0"/>
        <shadow val="0"/>
        <u val="none"/>
        <vertAlign val="baseline"/>
        <sz val="14"/>
        <color rgb="FF0000CC"/>
        <name val="Aptos Narrow"/>
        <family val="2"/>
        <scheme val="minor"/>
      </font>
      <numFmt numFmtId="0" formatCode="General"/>
      <fill>
        <patternFill patternType="solid">
          <fgColor indexed="64"/>
          <bgColor rgb="FFFFFFCC"/>
        </patternFill>
      </fill>
      <alignment horizontal="center" vertical="center" textRotation="0" wrapText="0" indent="0" justifyLastLine="0" shrinkToFit="0" readingOrder="0"/>
      <border diagonalUp="0" diagonalDown="0">
        <left style="thin">
          <color indexed="64"/>
        </left>
        <right style="thin">
          <color indexed="64"/>
        </right>
        <top style="hair">
          <color indexed="64"/>
        </top>
        <bottom style="hair">
          <color indexed="64"/>
        </bottom>
      </border>
      <protection locked="0" hidden="0"/>
    </dxf>
    <dxf>
      <font>
        <b/>
        <i val="0"/>
        <strike val="0"/>
        <condense val="0"/>
        <extend val="0"/>
        <outline val="0"/>
        <shadow val="0"/>
        <u val="none"/>
        <vertAlign val="baseline"/>
        <sz val="14"/>
        <color theme="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hair">
          <color auto="1"/>
        </left>
        <right style="thin">
          <color indexed="64"/>
        </right>
        <top style="hair">
          <color auto="1"/>
        </top>
        <bottom style="hair">
          <color auto="1"/>
        </bottom>
      </border>
      <protection locked="0" hidden="0"/>
    </dxf>
    <dxf>
      <font>
        <b/>
        <i val="0"/>
        <strike val="0"/>
        <condense val="0"/>
        <extend val="0"/>
        <outline val="0"/>
        <shadow val="0"/>
        <u val="none"/>
        <vertAlign val="baseline"/>
        <sz val="14"/>
        <color rgb="FF0000CC"/>
        <name val="Aptos Narrow"/>
        <family val="2"/>
        <scheme val="minor"/>
      </font>
      <numFmt numFmtId="0" formatCode="General"/>
      <fill>
        <patternFill patternType="solid">
          <fgColor indexed="64"/>
          <bgColor rgb="FFFFFFCC"/>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i val="0"/>
        <strike val="0"/>
        <condense val="0"/>
        <extend val="0"/>
        <outline val="0"/>
        <shadow val="0"/>
        <u val="none"/>
        <vertAlign val="baseline"/>
        <sz val="12"/>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alignment horizontal="left" vertical="center" textRotation="0" wrapText="1" indent="0" justifyLastLine="0" shrinkToFit="0" readingOrder="0"/>
      <border diagonalUp="0" diagonalDown="0" outline="0">
        <left style="hair">
          <color auto="1"/>
        </left>
        <right style="thin">
          <color indexed="64"/>
        </right>
        <top style="hair">
          <color auto="1"/>
        </top>
        <bottom style="hair">
          <color auto="1"/>
        </bottom>
      </border>
    </dxf>
    <dxf>
      <fill>
        <patternFill patternType="solid">
          <fgColor indexed="64"/>
          <bgColor rgb="FFCDACE6"/>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dxf>
    <dxf>
      <font>
        <b/>
        <sz val="14"/>
        <color rgb="FF0000CC"/>
      </font>
      <fill>
        <patternFill patternType="solid">
          <fgColor indexed="64"/>
          <bgColor rgb="FFCDACE6"/>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0" hidden="0"/>
    </dxf>
    <dxf>
      <border outline="0">
        <left style="thin">
          <color rgb="FF000000"/>
        </left>
        <right style="thin">
          <color rgb="FF000000"/>
        </right>
        <top style="thin">
          <color auto="1"/>
        </top>
        <bottom style="thin">
          <color rgb="FF000000"/>
        </bottom>
      </border>
    </dxf>
    <dxf>
      <border>
        <bottom style="thin">
          <color rgb="FF000000"/>
        </bottom>
      </border>
    </dxf>
    <dxf>
      <alignment vertical="top" textRotation="0" indent="0" justifyLastLine="0" shrinkToFit="0" readingOrder="0"/>
      <border diagonalUp="0" diagonalDown="0" outline="0">
        <left style="hair">
          <color indexed="64"/>
        </left>
        <right style="hair">
          <color indexed="64"/>
        </right>
        <top/>
        <bottom/>
      </border>
    </dxf>
    <dxf>
      <font>
        <color rgb="FF0000CC"/>
      </font>
      <numFmt numFmtId="164" formatCode="m/d/yy;@"/>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numFmt numFmtId="164" formatCode="m/d/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center" vertical="center" textRotation="0" wrapText="1" indent="0" justifyLastLine="0" shrinkToFit="0" readingOrder="0"/>
      <protection locked="0" hidden="0"/>
    </dxf>
    <dxf>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border outline="0">
        <bottom style="thin">
          <color rgb="FF000000"/>
        </bottom>
      </border>
    </dxf>
    <dxf>
      <font>
        <b/>
        <i val="0"/>
        <strike val="0"/>
        <condense val="0"/>
        <extend val="0"/>
        <outline val="0"/>
        <shadow val="0"/>
        <u val="none"/>
        <vertAlign val="baseline"/>
        <sz val="11"/>
        <color theme="1"/>
        <name val="Aptos Narrow"/>
        <family val="2"/>
        <scheme val="minor"/>
      </font>
      <fill>
        <patternFill patternType="solid">
          <fgColor indexed="64"/>
          <bgColor theme="0" tint="-4.9989318521683403E-2"/>
        </patternFill>
      </fill>
      <alignment horizontal="center" vertical="top" textRotation="0" wrapText="1" indent="0" justifyLastLine="0" shrinkToFit="0" readingOrder="0"/>
      <border diagonalUp="0" diagonalDown="0" outline="0">
        <left style="hair">
          <color indexed="64"/>
        </left>
        <right style="hair">
          <color indexed="64"/>
        </right>
        <top/>
        <bottom/>
      </border>
    </dxf>
    <dxf>
      <fill>
        <patternFill patternType="solid">
          <fgColor indexed="64"/>
          <bgColor rgb="FFCDACE6"/>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protection locked="1" hidden="0"/>
    </dxf>
    <dxf>
      <font>
        <b/>
        <i val="0"/>
        <strike val="0"/>
        <condense val="0"/>
        <extend val="0"/>
        <outline val="0"/>
        <shadow val="0"/>
        <u val="none"/>
        <vertAlign val="baseline"/>
        <sz val="14"/>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0" hidden="0"/>
    </dxf>
    <dxf>
      <font>
        <b/>
        <i val="0"/>
        <strike val="0"/>
        <condense val="0"/>
        <extend val="0"/>
        <outline val="0"/>
        <shadow val="0"/>
        <u val="none"/>
        <vertAlign val="baseline"/>
        <sz val="14"/>
        <color theme="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hair">
          <color auto="1"/>
        </left>
        <right style="thin">
          <color indexed="64"/>
        </right>
        <top style="hair">
          <color auto="1"/>
        </top>
        <bottom style="hair">
          <color auto="1"/>
        </bottom>
      </border>
      <protection locked="0" hidden="0"/>
    </dxf>
    <dxf>
      <font>
        <b/>
        <i val="0"/>
        <strike val="0"/>
        <condense val="0"/>
        <extend val="0"/>
        <outline val="0"/>
        <shadow val="0"/>
        <u val="none"/>
        <vertAlign val="baseline"/>
        <sz val="14"/>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sz val="14"/>
        <color rgb="FF0000CC"/>
      </font>
      <fill>
        <patternFill patternType="solid">
          <fgColor indexed="64"/>
          <bgColor rgb="FFCDACE6"/>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1" hidden="0"/>
    </dxf>
    <dxf>
      <border outline="0">
        <left style="thin">
          <color indexed="64"/>
        </left>
        <right style="thin">
          <color indexed="64"/>
        </right>
        <top style="thin">
          <color auto="1"/>
        </top>
        <bottom style="thin">
          <color indexed="64"/>
        </bottom>
      </border>
    </dxf>
    <dxf>
      <protection locked="1" hidden="0"/>
    </dxf>
    <dxf>
      <border>
        <bottom style="thin">
          <color indexed="64"/>
        </bottom>
      </border>
    </dxf>
    <dxf>
      <alignment vertical="top" textRotation="0" indent="0" justifyLastLine="0" shrinkToFit="0" readingOrder="0"/>
      <border diagonalUp="0" diagonalDown="0">
        <left style="hair">
          <color indexed="64"/>
        </left>
        <right style="hair">
          <color indexed="64"/>
        </right>
        <top/>
        <bottom/>
      </border>
      <protection locked="1" hidden="0"/>
    </dxf>
    <dxf>
      <font>
        <b val="0"/>
        <i val="0"/>
        <strike val="0"/>
        <condense val="0"/>
        <extend val="0"/>
        <outline val="0"/>
        <shadow val="0"/>
        <u val="none"/>
        <vertAlign val="baseline"/>
        <sz val="11"/>
        <color auto="1"/>
        <name val="Calibri"/>
        <family val="2"/>
        <scheme val="none"/>
      </font>
      <alignment horizontal="left" vertical="center" textRotation="0" wrapText="0" indent="0" justifyLastLine="0" shrinkToFit="0" readingOrder="0"/>
      <border diagonalUp="0" diagonalDown="0">
        <left style="hair">
          <color indexed="64"/>
        </left>
        <right style="thin">
          <color indexed="64"/>
        </right>
        <top style="hair">
          <color indexed="64"/>
        </top>
        <bottom style="hair">
          <color indexed="64"/>
        </bottom>
        <vertical style="hair">
          <color indexed="64"/>
        </vertical>
        <horizontal style="hair">
          <color indexed="64"/>
        </horizontal>
      </border>
    </dxf>
    <dxf>
      <alignment horizontal="left" vertical="center" textRotation="0" wrapText="0" indent="2" justifyLastLine="0" shrinkToFit="0" readingOrder="0"/>
      <border diagonalUp="0" diagonalDown="0">
        <left style="thin">
          <color indexed="64"/>
        </left>
        <right style="hair">
          <color indexed="64"/>
        </right>
        <top style="hair">
          <color indexed="64"/>
        </top>
        <bottom style="hair">
          <color indexed="64"/>
        </bottom>
        <vertical style="hair">
          <color indexed="64"/>
        </vertical>
        <horizontal style="hair">
          <color indexed="64"/>
        </horizontal>
      </border>
    </dxf>
    <dxf>
      <border>
        <bottom style="thin">
          <color indexed="64"/>
        </bottom>
      </border>
    </dxf>
    <dxf>
      <font>
        <b val="0"/>
        <i val="0"/>
        <strike val="0"/>
        <condense val="0"/>
        <extend val="0"/>
        <outline val="0"/>
        <shadow val="0"/>
        <u val="none"/>
        <vertAlign val="baseline"/>
        <sz val="11"/>
        <color auto="1"/>
        <name val="Calibri"/>
        <family val="2"/>
        <scheme val="none"/>
      </font>
      <alignment horizontal="left" vertical="center" textRotation="0" wrapText="0" indent="0" justifyLastLine="0" shrinkToFit="0" readingOrder="0"/>
      <border diagonalUp="0" diagonalDown="0">
        <left style="hair">
          <color indexed="64"/>
        </left>
        <right style="thin">
          <color indexed="64"/>
        </right>
        <top style="hair">
          <color indexed="64"/>
        </top>
        <bottom style="hair">
          <color indexed="64"/>
        </bottom>
        <vertical style="hair">
          <color indexed="64"/>
        </vertical>
        <horizontal style="hair">
          <color indexed="64"/>
        </horizontal>
      </border>
    </dxf>
    <dxf>
      <alignment horizontal="left" vertical="center" textRotation="0" wrapText="0" indent="2" justifyLastLine="0" shrinkToFit="0" readingOrder="0"/>
      <border diagonalUp="0" diagonalDown="0">
        <left style="thin">
          <color indexed="64"/>
        </left>
        <right style="hair">
          <color indexed="64"/>
        </right>
        <top style="hair">
          <color indexed="64"/>
        </top>
        <bottom style="hair">
          <color indexed="64"/>
        </bottom>
        <vertical style="hair">
          <color indexed="64"/>
        </vertical>
        <horizontal style="hair">
          <color indexed="64"/>
        </horizontal>
      </border>
    </dxf>
    <dxf>
      <border>
        <bottom style="thin">
          <color indexed="64"/>
        </bottom>
      </border>
    </dxf>
    <dxf>
      <font>
        <b val="0"/>
        <i val="0"/>
        <strike val="0"/>
        <condense val="0"/>
        <extend val="0"/>
        <outline val="0"/>
        <shadow val="0"/>
        <u val="none"/>
        <vertAlign val="baseline"/>
        <sz val="11"/>
        <color auto="1"/>
        <name val="Calibri"/>
        <family val="2"/>
        <scheme val="none"/>
      </font>
      <alignment horizontal="left" vertical="center" textRotation="0" wrapText="0" indent="0" justifyLastLine="0" shrinkToFit="0" readingOrder="0"/>
      <border diagonalUp="0" diagonalDown="0">
        <left style="hair">
          <color indexed="64"/>
        </left>
        <right style="thin">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auto="1"/>
        <name val="Calibri"/>
        <family val="2"/>
        <scheme val="none"/>
      </font>
      <alignment horizontal="left" vertical="center" textRotation="0" wrapText="0" indent="2" justifyLastLine="0" shrinkToFit="0" readingOrder="0"/>
      <border diagonalUp="0" diagonalDown="0">
        <left style="thin">
          <color indexed="64"/>
        </left>
        <right style="hair">
          <color indexed="64"/>
        </right>
        <top style="hair">
          <color indexed="64"/>
        </top>
        <bottom style="hair">
          <color indexed="64"/>
        </bottom>
        <vertical style="hair">
          <color indexed="64"/>
        </vertical>
        <horizontal style="hair">
          <color indexed="64"/>
        </horizontal>
      </border>
    </dxf>
    <dxf>
      <border>
        <bottom style="thin">
          <color indexed="64"/>
        </bottom>
      </border>
    </dxf>
    <dxf>
      <font>
        <b/>
      </font>
      <fill>
        <patternFill patternType="solid">
          <fgColor indexed="64"/>
          <bgColor theme="0" tint="-4.9989318521683403E-2"/>
        </patternFill>
      </fill>
      <border diagonalUp="0" diagonalDown="0" outline="0">
        <left style="hair">
          <color indexed="64"/>
        </left>
        <right style="hair">
          <color indexed="64"/>
        </right>
        <top/>
        <bottom/>
      </border>
    </dxf>
  </dxfs>
  <tableStyles count="0" defaultTableStyle="TableStyleMedium2" defaultPivotStyle="PivotStyleLight16"/>
  <colors>
    <mruColors>
      <color rgb="FFED3532"/>
      <color rgb="FF9900CC"/>
      <color rgb="FFCDACE6"/>
      <color rgb="FFC3D79B"/>
      <color rgb="FFDAEAF8"/>
      <color rgb="FF0099FF"/>
      <color rgb="FFFFFFCC"/>
      <color rgb="FFE9F2FB"/>
      <color rgb="FFEBF2DE"/>
      <color rgb="FFEDE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1.xml"/><Relationship Id="rId3" Type="http://schemas.openxmlformats.org/officeDocument/2006/relationships/worksheet" Target="worksheets/sheet3.xml"/><Relationship Id="rId21"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Structure" Target="richData/rdrichvaluestructure.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 Target="richData/rdrichvalue.xml"/><Relationship Id="rId27"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v xml:space="preserve">Logo. DaSy. The Center for IDEA Early Childhood Data Systems
</v>
  </rv>
  <rv s="1">
    <v>1</v>
    <v>5</v>
  </rv>
</rvData>
</file>

<file path=xl/richData/rdrichvaluestructure.xml><?xml version="1.0" encoding="utf-8"?>
<rvStructures xmlns="http://schemas.microsoft.com/office/spreadsheetml/2017/richdata" count="2">
  <s t="_localImage">
    <k n="_rvRel:LocalImageIdentifier" t="i"/>
    <k n="CalcOrigin" t="i"/>
    <k n="Text" t="s"/>
  </s>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F66EAD2-47AF-46B0-B5EE-D18A8BEF5C2C}" name="Rate_OptionsMeaning" displayName="Rate_OptionsMeaning" ref="A5:B8" totalsRowShown="0" headerRowDxfId="283" headerRowBorderDxfId="282">
  <autoFilter ref="A5:B8" xr:uid="{7854578B-F696-49D7-9C2B-A7DF14F12C7A}">
    <filterColumn colId="0" hiddenButton="1"/>
    <filterColumn colId="1" hiddenButton="1"/>
  </autoFilter>
  <tableColumns count="2">
    <tableColumn id="1" xr3:uid="{E6B9BF02-95D5-4DC4-99C2-06AF35B12499}" name="Option" dataDxfId="281"/>
    <tableColumn id="2" xr3:uid="{A62DBA6B-0435-45C9-9BCB-762A80E0013C}" name="Meaning" dataDxfId="280"/>
  </tableColumns>
  <tableStyleInfo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CE3EEA7-1DB7-44FA-8C75-C2C7B2A04459}" name="EnterData_4" displayName="EnterData_4" ref="A6:H42" totalsRowShown="0" headerRowDxfId="217" headerRowBorderDxfId="216" tableBorderDxfId="215">
  <tableColumns count="8">
    <tableColumn id="8" xr3:uid="{295BA9CA-CD57-4254-AFF6-33C6B3AEBCB9}" name="Index" dataDxfId="214"/>
    <tableColumn id="1" xr3:uid="{911F9844-CAE7-4CB0-A168-04EE10CB937F}" name="Competency Num" dataDxfId="213"/>
    <tableColumn id="2" xr3:uid="{1910D80D-983F-4596-9CA7-00B7161314B4}" name="Competencies" dataDxfId="212"/>
    <tableColumn id="3" xr3:uid="{32283090-17CF-40E2-9896-76FEF4C4F65D}" name="Rate" dataDxfId="211"/>
    <tableColumn id="4" xr3:uid="{C0CF2702-BF25-4BD7-AD13-7FCB90488B3F}" name="Essential" dataDxfId="210">
      <calculatedColumnFormula>EnterData_3[[#This Row],[Essential]]&amp;""</calculatedColumnFormula>
    </tableColumn>
    <tableColumn id="5" xr3:uid="{BB3466A9-3512-465C-8611-DF321BB56526}" name="Improve" dataDxfId="209"/>
    <tableColumn id="6" xr3:uid="{6CB31779-B045-44F6-891E-BE13E32A2652}" name="Notes" dataDxfId="208"/>
    <tableColumn id="7" xr3:uid="{5BF83170-F728-414C-BE6A-DF3658F5C5F3}" name="Component" dataDxfId="207"/>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8166629-A109-4092-A273-DEFC2F0DD246}" name="LearningPlan_824" displayName="LearningPlan_824" ref="J6:O42" totalsRowShown="0" headerRowBorderDxfId="206" tableBorderDxfId="205">
  <tableColumns count="6">
    <tableColumn id="1" xr3:uid="{E99FC4BA-C1C8-47BF-BF9D-7738B90546A4}" name="Comp Num" dataDxfId="204">
      <calculatedColumnFormula>calc!E13&amp;""</calculatedColumnFormula>
    </tableColumn>
    <tableColumn id="2" xr3:uid="{6FCE974B-778F-4A81-A77D-2D9457D77D67}" name="Competencies" dataDxfId="203">
      <calculatedColumnFormula>_xlfn.LET(_xlpm.x,INDEX(EnterData_8[Competencies],MATCH(J7,EnterData_8[Competency Num],0),1),IF(ISERROR(_xlpm.x),"",_xlpm.x))</calculatedColumnFormula>
    </tableColumn>
    <tableColumn id="3" xr3:uid="{AFD28068-0956-47B0-9089-63FC728B6D90}" name="Priority for next 3 months?" dataDxfId="202"/>
    <tableColumn id="4" xr3:uid="{E9411BA0-FD0A-4E7E-AED4-323D5ED9FBE8}" name="How will you acquire this competency?" dataDxfId="201"/>
    <tableColumn id="5" xr3:uid="{49402DF2-6777-4870-8809-8E86A28E3F0F}" name="By what date will you acquire this competency?" dataDxfId="200"/>
    <tableColumn id="6" xr3:uid="{10A65E8A-0E71-46F0-99BF-68EA88FF072A}" name="Notes" dataDxfId="199"/>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7A4042C-9226-4750-8508-71504534D794}" name="EnterData_5" displayName="EnterData_5" ref="A6:H42" totalsRowShown="0" headerRowDxfId="198" headerRowBorderDxfId="197" tableBorderDxfId="196">
  <tableColumns count="8">
    <tableColumn id="8" xr3:uid="{79A85746-4439-4C0C-949E-E6D920F35F52}" name="Index" dataDxfId="195"/>
    <tableColumn id="1" xr3:uid="{5BF4F2D0-F96F-48A9-8C0C-3367FC4AE5BD}" name="Competency Num" dataDxfId="194"/>
    <tableColumn id="2" xr3:uid="{D946FD4C-C1B6-4BF2-A658-6B34A2F0E7E9}" name="Competencies" dataDxfId="193"/>
    <tableColumn id="3" xr3:uid="{BFE153D8-7A7C-4A8C-B097-A7B619EB4D97}" name="Rate" dataDxfId="192"/>
    <tableColumn id="4" xr3:uid="{DCD1D0C8-96D4-4917-BA2C-BCBE9178187A}" name="Essential" dataDxfId="191">
      <calculatedColumnFormula>EnterData_4[[#This Row],[Essential]]&amp;""</calculatedColumnFormula>
    </tableColumn>
    <tableColumn id="5" xr3:uid="{406278F0-F436-4D26-A537-B6FED539047C}" name="Improve" dataDxfId="190"/>
    <tableColumn id="6" xr3:uid="{79C5909E-C83A-4577-B817-7B4D5D22BAD7}" name="Notes" dataDxfId="189"/>
    <tableColumn id="7" xr3:uid="{86A0A9EA-29B4-466A-A9FD-B28E77512577}" name="Component" dataDxfId="188"/>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8D43CB5-06EC-4AD2-A2C7-8A88F44AF5BF}" name="LearningPlan_823" displayName="LearningPlan_823" ref="J6:O42" totalsRowShown="0" headerRowBorderDxfId="187" tableBorderDxfId="186">
  <tableColumns count="6">
    <tableColumn id="1" xr3:uid="{C2496FAF-D36A-4818-AFCB-FEFC10C2D815}" name="Comp Num" dataDxfId="185">
      <calculatedColumnFormula>calc!F13&amp;""</calculatedColumnFormula>
    </tableColumn>
    <tableColumn id="2" xr3:uid="{C42F2F5C-AA83-48D8-BF65-FDEC1C3C6F9E}" name="Competencies" dataDxfId="184">
      <calculatedColumnFormula>_xlfn.LET(_xlpm.x,INDEX(EnterData_8[Competencies],MATCH(J7,EnterData_8[Competency Num],0),1),IF(ISERROR(_xlpm.x),"",_xlpm.x))</calculatedColumnFormula>
    </tableColumn>
    <tableColumn id="3" xr3:uid="{34F5012C-D1CB-40DD-AFB4-DFA256D91A2E}" name="Priority for next 3 months?" dataDxfId="183"/>
    <tableColumn id="4" xr3:uid="{AD3B5A53-2CC0-437E-A0C7-2B1B93BFB3AC}" name="How will you acquire this competency?" dataDxfId="182"/>
    <tableColumn id="5" xr3:uid="{01690A91-15D5-4E64-86D3-346FF9E986B9}" name="By what date will you acquire this competency?" dataDxfId="181"/>
    <tableColumn id="6" xr3:uid="{D4F2EC9D-2FEC-40AB-9165-7350B21132EB}" name="Notes" dataDxfId="180"/>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B4EC1AD-9B94-4FCD-A523-3CBEC3202BDE}" name="EnterData_6" displayName="EnterData_6" ref="A6:H42" totalsRowShown="0" headerRowDxfId="179" headerRowBorderDxfId="178" tableBorderDxfId="177">
  <tableColumns count="8">
    <tableColumn id="8" xr3:uid="{AB71E7A2-1D19-491D-AA73-A25656F40D51}" name="Index" dataDxfId="176"/>
    <tableColumn id="1" xr3:uid="{52D814BA-071D-4CCB-9419-D0AF08EA35B4}" name="Competency Num" dataDxfId="175"/>
    <tableColumn id="2" xr3:uid="{AA976211-5199-43D9-AB8A-33B42ECDFB57}" name="Competencies" dataDxfId="174"/>
    <tableColumn id="3" xr3:uid="{FB5A8D1C-985D-49B3-AB5D-0A7F12D3048E}" name="Rate" dataDxfId="173"/>
    <tableColumn id="4" xr3:uid="{C10FE915-C43C-46CA-8C3F-34417378CB12}" name="Essential" dataDxfId="172">
      <calculatedColumnFormula>EnterData_5[[#This Row],[Essential]]&amp;""</calculatedColumnFormula>
    </tableColumn>
    <tableColumn id="5" xr3:uid="{2E5129C6-B5D5-43F6-A9AD-814DFAC43E0E}" name="Improve" dataDxfId="171"/>
    <tableColumn id="6" xr3:uid="{64DE2622-6126-4ABD-8CB4-F9DC49855385}" name="Notes" dataDxfId="170"/>
    <tableColumn id="7" xr3:uid="{38ED22B8-78D5-43B4-A18B-03CE464C48BA}" name="Component" dataDxfId="169"/>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86548EF-85B0-495F-950F-2FFBEE545D8C}" name="LearningPlan_822" displayName="LearningPlan_822" ref="J6:O42" totalsRowShown="0" headerRowBorderDxfId="168" tableBorderDxfId="167">
  <tableColumns count="6">
    <tableColumn id="1" xr3:uid="{EAFB4FF3-450C-4786-AE8E-5808C3336100}" name="Comp Num" dataDxfId="166">
      <calculatedColumnFormula>calc!G13&amp;""</calculatedColumnFormula>
    </tableColumn>
    <tableColumn id="2" xr3:uid="{45E08A66-7577-4ACB-B2AC-B132078BE3CF}" name="Competencies" dataDxfId="165">
      <calculatedColumnFormula>_xlfn.LET(_xlpm.x,INDEX(EnterData_8[Competencies],MATCH(J7,EnterData_8[Competency Num],0),1),IF(ISERROR(_xlpm.x),"",_xlpm.x))</calculatedColumnFormula>
    </tableColumn>
    <tableColumn id="3" xr3:uid="{2BFA590C-E3E4-4DE7-AA8B-42421EF3832D}" name="Priority for next 3 months?" dataDxfId="164"/>
    <tableColumn id="4" xr3:uid="{CE36B069-54BA-401C-BFBE-C53AB0946AF3}" name="How will you acquire this competency?" dataDxfId="163"/>
    <tableColumn id="5" xr3:uid="{E43FE5EF-A541-4C0D-99FE-9A911B73698F}" name="By what date will you acquire this competency?" dataDxfId="162"/>
    <tableColumn id="6" xr3:uid="{AF013564-ACC7-4C09-A344-0D05F8351245}" name="Notes" dataDxfId="161"/>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4B64BED-E937-4554-B4C8-034F6B1A0D01}" name="EnterData_7" displayName="EnterData_7" ref="A6:H42" totalsRowShown="0" headerRowDxfId="160" headerRowBorderDxfId="159" tableBorderDxfId="158">
  <tableColumns count="8">
    <tableColumn id="8" xr3:uid="{D8D368F1-692D-4215-B936-7D957017A557}" name="Index" dataDxfId="157"/>
    <tableColumn id="1" xr3:uid="{82DA4C87-7589-413B-AA0C-C5E58AC3CBD7}" name="Competency Num" dataDxfId="156"/>
    <tableColumn id="2" xr3:uid="{D4ACC71B-B465-41D8-A02F-20A5F216BA9D}" name="Competencies" dataDxfId="155"/>
    <tableColumn id="3" xr3:uid="{E4EEEB25-B8A2-40B4-A58F-971868E6E57F}" name="Rate" dataDxfId="154"/>
    <tableColumn id="4" xr3:uid="{1BEDBC41-A1BC-4413-B3C4-F9DB3C3AF070}" name="Essential" dataDxfId="153">
      <calculatedColumnFormula>EnterData_6[[#This Row],[Essential]]&amp;""</calculatedColumnFormula>
    </tableColumn>
    <tableColumn id="5" xr3:uid="{5345F44C-FF2A-4351-8F63-CED9B10CED6B}" name="Improve" dataDxfId="152"/>
    <tableColumn id="6" xr3:uid="{C500DE1B-CBBE-416D-8888-2810184A924B}" name="Notes" dataDxfId="151"/>
    <tableColumn id="7" xr3:uid="{25D7CC01-8748-4CA4-955E-6F21B5EC4AD4}" name="Component" dataDxfId="150"/>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76732DC-C76F-4E6D-87F8-394FA96FC8F3}" name="LearningPlan_821" displayName="LearningPlan_821" ref="J6:O42" totalsRowShown="0" headerRowBorderDxfId="149" tableBorderDxfId="148">
  <tableColumns count="6">
    <tableColumn id="1" xr3:uid="{33846D98-BA1B-4676-A901-144CCA219848}" name="Comp Num" dataDxfId="147">
      <calculatedColumnFormula>calc!H13&amp;""</calculatedColumnFormula>
    </tableColumn>
    <tableColumn id="2" xr3:uid="{4096E244-33BC-4D34-8089-2979F01A6830}" name="Competencies" dataDxfId="146">
      <calculatedColumnFormula>_xlfn.LET(_xlpm.x,INDEX(EnterData_8[Competencies],MATCH(J7,EnterData_8[Competency Num],0),1),IF(ISERROR(_xlpm.x),"",_xlpm.x))</calculatedColumnFormula>
    </tableColumn>
    <tableColumn id="3" xr3:uid="{8092874F-67C9-44E9-B964-91158FF86DE8}" name="Priority for next 3 months?" dataDxfId="145"/>
    <tableColumn id="4" xr3:uid="{17688B70-F7B8-4C52-859B-65A7210A19EC}" name="How will you acquire this competency?" dataDxfId="144"/>
    <tableColumn id="5" xr3:uid="{46E68AB9-CDEF-4289-85CB-967761DDCF55}" name="By what date will you acquire this competency?" dataDxfId="143"/>
    <tableColumn id="6" xr3:uid="{6DC0E840-0354-4FF9-BC6E-74C7EA008E3F}" name="Notes" dataDxfId="142"/>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0E6B499-6779-4C1B-B51A-82C31967E35E}" name="EnterData_8" displayName="EnterData_8" ref="A6:H42" totalsRowShown="0" headerRowDxfId="141" headerRowBorderDxfId="140" tableBorderDxfId="139">
  <tableColumns count="8">
    <tableColumn id="8" xr3:uid="{F9F62FE7-32B6-437E-AD3E-7D307D953A66}" name="Index" dataDxfId="138"/>
    <tableColumn id="1" xr3:uid="{2697F5CE-5317-43EE-A4F8-33DD90C24058}" name="Competency Num" dataDxfId="137"/>
    <tableColumn id="2" xr3:uid="{8E580ADD-1229-47F3-AF10-89C816D90B83}" name="Competencies" dataDxfId="136"/>
    <tableColumn id="3" xr3:uid="{5671535A-356F-44AF-A8F8-44382B85BCE5}" name="Rate" dataDxfId="135"/>
    <tableColumn id="4" xr3:uid="{9C552479-4624-45D0-9B1F-8152ED04A5A9}" name="Essential" dataDxfId="134">
      <calculatedColumnFormula>EnterData_7[[#This Row],[Essential]]&amp;""</calculatedColumnFormula>
    </tableColumn>
    <tableColumn id="5" xr3:uid="{783A1E50-D973-452F-81E5-2DC674C7EA7F}" name="Improve" dataDxfId="133"/>
    <tableColumn id="6" xr3:uid="{D7D6DD21-BDF5-4690-AC1A-A1523C8E5FBD}" name="Notes" dataDxfId="132"/>
    <tableColumn id="7" xr3:uid="{E3DB0A46-22F7-4477-978A-75660021811B}" name="Component" dataDxfId="131"/>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26E4D8D-2BE2-45C4-91FA-F87C9719B4B1}" name="LearningPlan_8" displayName="LearningPlan_8" ref="J6:O42" totalsRowShown="0" headerRowBorderDxfId="130" tableBorderDxfId="129">
  <autoFilter ref="J6:O42" xr:uid="{3791A183-8E00-4E8F-B08C-23CE8F8066F7}">
    <filterColumn colId="0" hiddenButton="1"/>
    <filterColumn colId="1" hiddenButton="1"/>
    <filterColumn colId="2" hiddenButton="1"/>
    <filterColumn colId="3" hiddenButton="1"/>
    <filterColumn colId="4" hiddenButton="1"/>
    <filterColumn colId="5" hiddenButton="1"/>
  </autoFilter>
  <tableColumns count="6">
    <tableColumn id="1" xr3:uid="{44D7C12F-645B-4AF3-97A4-674507DA7CF1}" name="Comp Num" dataDxfId="128">
      <calculatedColumnFormula>calc!I13&amp;""</calculatedColumnFormula>
    </tableColumn>
    <tableColumn id="2" xr3:uid="{C1FBB7A6-2789-4E2A-9001-3E88095E90F2}" name="Competencies" dataDxfId="127">
      <calculatedColumnFormula>_xlfn.LET(_xlpm.x,INDEX(EnterData_8[Competencies],MATCH(J7,EnterData_8[Competency Num],0),1),IF(ISERROR(_xlpm.x),"",_xlpm.x))</calculatedColumnFormula>
    </tableColumn>
    <tableColumn id="3" xr3:uid="{9D646D60-D3D0-4224-8E38-1837B082F204}" name="Priority for next 3 months?" dataDxfId="126"/>
    <tableColumn id="4" xr3:uid="{8B3481A1-4839-4DA0-8870-51C85F8E65A2}" name="How will you acquire this competency?" dataDxfId="125"/>
    <tableColumn id="5" xr3:uid="{D6F85DE1-55F7-442F-8E22-0D8D3248ACF2}" name="By what date will you acquire this competency?" dataDxfId="124"/>
    <tableColumn id="6" xr3:uid="{E2E9631B-3E71-48EB-9FF4-880E07037606}" name="Notes" dataDxfId="12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89FA9B4-CD6F-4425-A12A-B25A519F29F9}" name="Essential_OptionsMeaning" displayName="Essential_OptionsMeaning" ref="A12:B15" totalsRowShown="0" headerRowBorderDxfId="279">
  <autoFilter ref="A12:B15" xr:uid="{CD8E77F2-CC70-4166-BB94-8F10DB3DC1A7}">
    <filterColumn colId="0" hiddenButton="1"/>
    <filterColumn colId="1" hiddenButton="1"/>
  </autoFilter>
  <tableColumns count="2">
    <tableColumn id="1" xr3:uid="{72CCDF56-1E62-4F6A-B905-74997485893A}" name="Option" dataDxfId="278"/>
    <tableColumn id="2" xr3:uid="{8DC284BB-A8EE-4D1B-A6E3-07E6F254A382}" name="Meaning" dataDxfId="277"/>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EEDD2D1-506D-4796-992D-4EA456F8556A}" name="Improve_OptionsMeaning" displayName="Improve_OptionsMeaning" ref="A19:B21" totalsRowShown="0" headerRowBorderDxfId="276">
  <autoFilter ref="A19:B21" xr:uid="{71114AAD-1449-46FC-A686-9D6FDC498426}">
    <filterColumn colId="0" hiddenButton="1"/>
    <filterColumn colId="1" hiddenButton="1"/>
  </autoFilter>
  <tableColumns count="2">
    <tableColumn id="1" xr3:uid="{E4086CF8-101C-4E7F-AA20-7B53D4675140}" name="Option" dataDxfId="275"/>
    <tableColumn id="2" xr3:uid="{D35EC1AC-9736-4E04-B75F-64D35F5E708C}" name="Meaning" dataDxfId="27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A998C8-9073-4835-8778-CBA00DBEE8F0}" name="EnterData_1" displayName="EnterData_1" ref="A6:H42" totalsRowShown="0" headerRowDxfId="273" dataDxfId="271" headerRowBorderDxfId="272" tableBorderDxfId="270">
  <tableColumns count="8">
    <tableColumn id="8" xr3:uid="{708E0B1D-C99B-4EDA-918E-64644DFF73F8}" name="Index" dataDxfId="269"/>
    <tableColumn id="1" xr3:uid="{3B06C1E4-361F-42A0-91CA-78B8DA098253}" name="Competency Num" dataDxfId="2"/>
    <tableColumn id="2" xr3:uid="{382A00C7-E355-4877-8224-96A76D28CC75}" name="Competencies" dataDxfId="0"/>
    <tableColumn id="3" xr3:uid="{7F3E9B80-5474-4761-BDC0-A205A0BC173F}" name="Rate" dataDxfId="1"/>
    <tableColumn id="4" xr3:uid="{C0C9CEE7-593E-41AE-A0A5-9616FCB9C033}" name="Essential" dataDxfId="268"/>
    <tableColumn id="5" xr3:uid="{8910934B-5958-4E9A-909D-7A36C1D0337C}" name="Improve" dataDxfId="267"/>
    <tableColumn id="6" xr3:uid="{D9F5D627-AFFC-425F-86FB-61E6AD061286}" name="Notes" dataDxfId="266"/>
    <tableColumn id="7" xr3:uid="{7216FB56-D7C3-4F3B-97FC-6853B5EE1667}" name="Component" dataDxfId="26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CADB6D0-BCDF-4E18-87A5-6090663B4E90}" name="LearningPlan_827" displayName="LearningPlan_827" ref="J6:O42" totalsRowShown="0" headerRowDxfId="264" headerRowBorderDxfId="263" tableBorderDxfId="262">
  <tableColumns count="6">
    <tableColumn id="1" xr3:uid="{EEFF3D6C-90F3-42D9-BCB6-52CAE64EED7E}" name="Comp Num" dataDxfId="261">
      <calculatedColumnFormula>calc!B13&amp;""</calculatedColumnFormula>
    </tableColumn>
    <tableColumn id="2" xr3:uid="{BB503E05-8EB7-440B-9B0A-D22F7073405F}" name="Competencies" dataDxfId="260">
      <calculatedColumnFormula>_xlfn.LET(_xlpm.x,INDEX(EnterData_8[Competencies],MATCH(J7,EnterData_8[Competency Num],0),1),IF(ISERROR(_xlpm.x),"",_xlpm.x))</calculatedColumnFormula>
    </tableColumn>
    <tableColumn id="3" xr3:uid="{722EACC5-4D63-4601-8BF1-D9F809273D5B}" name="Priority for next 3 months?" dataDxfId="259"/>
    <tableColumn id="4" xr3:uid="{00A17136-8861-430B-A5FA-1E83A69B97E8}" name="How will you acquire this competency?" dataDxfId="258"/>
    <tableColumn id="5" xr3:uid="{E239E3D8-CCE5-41C2-B047-7BEE63370DA8}" name="By what date will you acquire this competency?" dataDxfId="257"/>
    <tableColumn id="6" xr3:uid="{1EC3585C-924D-4E8B-B927-19A24AEE7CDE}" name="Notes" dataDxfId="25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6D1FDA4-CF98-4DEC-AE0C-66907ECCCB37}" name="EnterData_2" displayName="EnterData_2" ref="A6:H42" totalsRowShown="0" headerRowDxfId="255" headerRowBorderDxfId="254" tableBorderDxfId="253">
  <tableColumns count="8">
    <tableColumn id="8" xr3:uid="{E26A074C-EE45-4B1A-922B-B924848F5E12}" name="Index" dataDxfId="252"/>
    <tableColumn id="1" xr3:uid="{06D5009D-FBB9-435F-B251-5C3B55118F20}" name="Competency Num" dataDxfId="251"/>
    <tableColumn id="2" xr3:uid="{544BC079-4F19-44B8-BA44-7F6F357B93A0}" name="Competencies" dataDxfId="250"/>
    <tableColumn id="3" xr3:uid="{E96EBCFA-13A3-452C-B633-D60ED341BAED}" name="Rate" dataDxfId="249"/>
    <tableColumn id="4" xr3:uid="{AC82C5A8-51BC-424A-92BF-5934484CBAE8}" name="Essential" dataDxfId="248">
      <calculatedColumnFormula>EnterData_1[[#This Row],[Essential]]&amp;""</calculatedColumnFormula>
    </tableColumn>
    <tableColumn id="5" xr3:uid="{A3F5BF8D-EA82-45DA-BB2B-40B749550315}" name="Improve" dataDxfId="247"/>
    <tableColumn id="6" xr3:uid="{51781E2C-F6B6-4DDD-90A0-D14951DEC2B3}" name="Notes" dataDxfId="246"/>
    <tableColumn id="7" xr3:uid="{1FF8477C-FB1F-493D-A951-D92B265999F9}" name="Component" dataDxfId="245"/>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14734294-9D55-440C-B13B-2C3AF768172F}" name="LearningPlan_826" displayName="LearningPlan_826" ref="J6:O42" totalsRowShown="0" headerRowBorderDxfId="244" tableBorderDxfId="243">
  <tableColumns count="6">
    <tableColumn id="1" xr3:uid="{2B467C80-2297-4C4D-961B-71B78BAD44AD}" name="Comp Num" dataDxfId="242">
      <calculatedColumnFormula>calc!C13&amp;""</calculatedColumnFormula>
    </tableColumn>
    <tableColumn id="2" xr3:uid="{715A7147-10DF-4A66-B722-880BD20B9D4D}" name="Competencies" dataDxfId="241">
      <calculatedColumnFormula>_xlfn.LET(_xlpm.x,INDEX(EnterData_8[Competencies],MATCH(J7,EnterData_8[Competency Num],0),1),IF(ISERROR(_xlpm.x),"",_xlpm.x))</calculatedColumnFormula>
    </tableColumn>
    <tableColumn id="3" xr3:uid="{4CAB8474-C752-454F-ACFC-5861BE0444E3}" name="Priority for next 3 months?" dataDxfId="240"/>
    <tableColumn id="4" xr3:uid="{E1F0EB28-1ADC-44BE-AACA-1EFD27A3F8F4}" name="How will you acquire this competency?" dataDxfId="239"/>
    <tableColumn id="5" xr3:uid="{3C9DA42A-8275-4972-909D-2E09C91EE8FF}" name="By what date will you acquire this competency?" dataDxfId="238"/>
    <tableColumn id="6" xr3:uid="{46BF41D0-D417-4D03-857A-BA4A8E884CAB}" name="Notes" dataDxfId="237"/>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BBE6C33-2FD9-4F8B-A962-4C8A5DCDF687}" name="EnterData_3" displayName="EnterData_3" ref="A6:H42" totalsRowShown="0" headerRowDxfId="236" headerRowBorderDxfId="235" tableBorderDxfId="234">
  <tableColumns count="8">
    <tableColumn id="8" xr3:uid="{0E38A27D-7801-4694-A940-6473071C2377}" name="Index" dataDxfId="233"/>
    <tableColumn id="1" xr3:uid="{03B02FEB-841C-4740-8D6D-79B1BFA266AF}" name="Competency Num" dataDxfId="232"/>
    <tableColumn id="2" xr3:uid="{47B0ABF2-02CC-41EA-8431-6AFA081A49B8}" name="Competencies" dataDxfId="231"/>
    <tableColumn id="3" xr3:uid="{341A940A-C678-470F-B0FB-5C796EB8945E}" name="Rate" dataDxfId="230"/>
    <tableColumn id="4" xr3:uid="{3842629F-D68A-4D4F-A1C5-5F91275ECE45}" name="Essential" dataDxfId="229">
      <calculatedColumnFormula>EnterData_2[[#This Row],[Essential]]&amp;""</calculatedColumnFormula>
    </tableColumn>
    <tableColumn id="5" xr3:uid="{D03EE4EB-3F5D-41FB-A7F3-60A270CB8CAD}" name="Improve" dataDxfId="228"/>
    <tableColumn id="6" xr3:uid="{4284D9D1-7849-4157-A04D-C388E0DFFDC4}" name="Notes" dataDxfId="227"/>
    <tableColumn id="7" xr3:uid="{0C87B035-B6CD-44EF-A5D1-9FB995780D9F}" name="Component" dataDxfId="226"/>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6E74CEA5-A574-454F-85F5-1C232748939F}" name="LearningPlan_825" displayName="LearningPlan_825" ref="J6:O42" totalsRowShown="0" headerRowBorderDxfId="225" tableBorderDxfId="224">
  <tableColumns count="6">
    <tableColumn id="1" xr3:uid="{34FD29BA-076F-4DCB-A698-37B9638F797F}" name="Comp Num" dataDxfId="223">
      <calculatedColumnFormula>calc!D13&amp;""</calculatedColumnFormula>
    </tableColumn>
    <tableColumn id="2" xr3:uid="{536ECE50-1C22-4067-A527-9DEA59949EA1}" name="Competencies" dataDxfId="222">
      <calculatedColumnFormula>_xlfn.LET(_xlpm.x,INDEX(EnterData_8[Competencies],MATCH(J7,EnterData_8[Competency Num],0),1),IF(ISERROR(_xlpm.x),"",_xlpm.x))</calculatedColumnFormula>
    </tableColumn>
    <tableColumn id="3" xr3:uid="{71262433-64CB-424F-BA49-F6C85AE9AF4A}" name="Priority for next 3 months?" dataDxfId="221"/>
    <tableColumn id="4" xr3:uid="{6B6338BD-875E-465C-9A13-D2D916C9FF16}" name="How will you acquire this competency?" dataDxfId="220"/>
    <tableColumn id="5" xr3:uid="{4FC0E51C-ED02-4E2C-B47F-72CD30576B6E}" name="By what date will you acquire this competency?" dataDxfId="219"/>
    <tableColumn id="6" xr3:uid="{DDD3E3DE-F33B-4806-B32D-BD5B4279386A}" name="Notes" dataDxfId="218"/>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vmlDrawing" Target="../drawings/vmlDrawing7.vml"/><Relationship Id="rId1" Type="http://schemas.openxmlformats.org/officeDocument/2006/relationships/printerSettings" Target="../printerSettings/printerSettings10.bin"/><Relationship Id="rId5" Type="http://schemas.openxmlformats.org/officeDocument/2006/relationships/comments" Target="../comments7.xml"/><Relationship Id="rId4" Type="http://schemas.openxmlformats.org/officeDocument/2006/relationships/table" Target="../tables/table17.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vmlDrawing" Target="../drawings/vmlDrawing8.vml"/><Relationship Id="rId1" Type="http://schemas.openxmlformats.org/officeDocument/2006/relationships/printerSettings" Target="../printerSettings/printerSettings11.bin"/><Relationship Id="rId5" Type="http://schemas.openxmlformats.org/officeDocument/2006/relationships/comments" Target="../comments8.xml"/><Relationship Id="rId4" Type="http://schemas.openxmlformats.org/officeDocument/2006/relationships/table" Target="../tables/table1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table" Target="../tables/table7.xml"/></Relationships>
</file>

<file path=xl/worksheets/_rels/sheet6.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5" Type="http://schemas.openxmlformats.org/officeDocument/2006/relationships/comments" Target="../comments3.xml"/><Relationship Id="rId4" Type="http://schemas.openxmlformats.org/officeDocument/2006/relationships/table" Target="../tables/table9.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table" Target="../tables/table11.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table" Target="../tables/table13.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vmlDrawing" Target="../drawings/vmlDrawing6.vml"/><Relationship Id="rId1" Type="http://schemas.openxmlformats.org/officeDocument/2006/relationships/printerSettings" Target="../printerSettings/printerSettings9.bin"/><Relationship Id="rId5" Type="http://schemas.openxmlformats.org/officeDocument/2006/relationships/comments" Target="../comments6.xml"/><Relationship Id="rId4"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78F2A-CFCB-43CB-9952-940873864E41}">
  <sheetPr>
    <tabColor rgb="FFFFF2CC"/>
    <pageSetUpPr fitToPage="1"/>
  </sheetPr>
  <dimension ref="A1:B10"/>
  <sheetViews>
    <sheetView showGridLines="0" tabSelected="1" zoomScaleNormal="100" workbookViewId="0">
      <pane ySplit="1" topLeftCell="A2" activePane="bottomLeft" state="frozen"/>
      <selection pane="bottomLeft"/>
    </sheetView>
  </sheetViews>
  <sheetFormatPr defaultRowHeight="16" zeroHeight="1" x14ac:dyDescent="0.4"/>
  <cols>
    <col min="1" max="1" width="89.90625" customWidth="1"/>
    <col min="2" max="2" width="8.6328125" style="128" customWidth="1"/>
  </cols>
  <sheetData>
    <row r="1" spans="1:2" ht="18" x14ac:dyDescent="0.4">
      <c r="A1" s="134" t="s">
        <v>266</v>
      </c>
      <c r="B1" s="134"/>
    </row>
    <row r="2" spans="1:2" ht="47" thickBot="1" x14ac:dyDescent="0.4">
      <c r="A2" s="324" t="e" vm="1">
        <v>#VALUE!</v>
      </c>
      <c r="B2" s="131" t="s">
        <v>130</v>
      </c>
    </row>
    <row r="3" spans="1:2" ht="93" x14ac:dyDescent="0.35">
      <c r="A3" s="133" t="s">
        <v>199</v>
      </c>
      <c r="B3" s="131" t="s">
        <v>133</v>
      </c>
    </row>
    <row r="4" spans="1:2" ht="93.5" thickBot="1" x14ac:dyDescent="0.4">
      <c r="A4" s="133" t="s">
        <v>134</v>
      </c>
      <c r="B4" s="131" t="s">
        <v>133</v>
      </c>
    </row>
    <row r="5" spans="1:2" ht="124" x14ac:dyDescent="0.35">
      <c r="A5" s="325" t="s">
        <v>198</v>
      </c>
      <c r="B5" s="131" t="s">
        <v>197</v>
      </c>
    </row>
    <row r="6" spans="1:2" ht="31" x14ac:dyDescent="0.35">
      <c r="A6" s="326" t="s">
        <v>132</v>
      </c>
      <c r="B6" s="131" t="s">
        <v>131</v>
      </c>
    </row>
    <row r="7" spans="1:2" ht="46.5" x14ac:dyDescent="0.35">
      <c r="A7" s="132" t="e" vm="2">
        <v>#VALUE!</v>
      </c>
      <c r="B7" s="131" t="s">
        <v>130</v>
      </c>
    </row>
    <row r="8" spans="1:2" ht="15.5" x14ac:dyDescent="0.35">
      <c r="A8" s="129" t="s">
        <v>275</v>
      </c>
      <c r="B8" s="130"/>
    </row>
    <row r="9" spans="1:2" x14ac:dyDescent="0.4">
      <c r="A9" s="129" t="s">
        <v>150</v>
      </c>
    </row>
    <row r="10" spans="1:2" hidden="1" x14ac:dyDescent="0.4">
      <c r="A10" t="s">
        <v>274</v>
      </c>
    </row>
  </sheetData>
  <sheetProtection formatCells="0" formatColumns="0" formatRows="0"/>
  <pageMargins left="0.7" right="0.7" top="0.75" bottom="0.75" header="0.3" footer="0.3"/>
  <pageSetup fitToHeight="0" orientation="portrait" horizontalDpi="4294967293" verticalDpi="200" r:id="rId1"/>
  <headerFooter>
    <oddHeader>&amp;LInformation&amp;RPrinted on: &amp;D</oddHeader>
    <oddFooter>&amp;CPage &amp;P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7FBC4-6108-406B-A3A2-4CA0D7A62009}">
  <sheetPr>
    <tabColor rgb="FFFFFFCC"/>
    <pageSetUpPr fitToPage="1"/>
  </sheetPr>
  <dimension ref="A1:S66"/>
  <sheetViews>
    <sheetView showGridLines="0" zoomScaleNormal="100" workbookViewId="0">
      <pane ySplit="6" topLeftCell="A7" activePane="bottomLeft" state="frozen"/>
      <selection activeCell="G4" sqref="G4"/>
      <selection pane="bottomLeft"/>
    </sheetView>
  </sheetViews>
  <sheetFormatPr defaultRowHeight="14.5" x14ac:dyDescent="0.35"/>
  <cols>
    <col min="1" max="1" width="7.26953125" customWidth="1"/>
    <col min="2" max="2" width="12.54296875" style="22" customWidth="1"/>
    <col min="3" max="3" width="54.08984375" style="22" customWidth="1"/>
    <col min="4" max="4" width="10.1796875" customWidth="1"/>
    <col min="5" max="5" width="8.453125" customWidth="1"/>
    <col min="6" max="6" width="7.90625" customWidth="1"/>
    <col min="7" max="7" width="36.36328125" customWidth="1"/>
    <col min="8" max="8" width="0" hidden="1" customWidth="1"/>
    <col min="9" max="9" width="2.26953125" customWidth="1"/>
    <col min="10" max="10" width="7.26953125" customWidth="1"/>
    <col min="11" max="11" width="85.1796875" style="22" customWidth="1"/>
    <col min="12" max="12" width="14.453125" customWidth="1"/>
    <col min="13" max="13" width="44.453125" customWidth="1"/>
    <col min="14" max="14" width="16" style="44" customWidth="1"/>
    <col min="15" max="15" width="30.54296875" customWidth="1"/>
    <col min="16" max="16" width="1.453125" customWidth="1"/>
  </cols>
  <sheetData>
    <row r="1" spans="1:19" s="270" customFormat="1" ht="10.5" x14ac:dyDescent="0.25">
      <c r="A1" s="271" t="s">
        <v>113</v>
      </c>
      <c r="B1" s="272"/>
      <c r="C1" s="272"/>
      <c r="K1" s="272"/>
      <c r="N1" s="273"/>
    </row>
    <row r="2" spans="1:19" x14ac:dyDescent="0.35">
      <c r="A2" s="245" t="str">
        <f>IF('SA1'!$G$3="","You must enter a name (or role) in worksheet SA1, cell G3 to activate the workbook.",IF($G$4="","You must enter a Date of Self Assessment in G4 to activate this worksheet.",""))</f>
        <v>You must enter a Date of Self Assessment in G4 to activate this worksheet.</v>
      </c>
    </row>
    <row r="3" spans="1:19" x14ac:dyDescent="0.35">
      <c r="G3" s="314"/>
    </row>
    <row r="4" spans="1:19" ht="20.5" thickBot="1" x14ac:dyDescent="0.4">
      <c r="A4" s="31" t="s">
        <v>120</v>
      </c>
      <c r="B4" s="32"/>
      <c r="C4" s="32"/>
      <c r="F4" s="33" t="s">
        <v>105</v>
      </c>
      <c r="G4" s="285"/>
      <c r="J4" s="31" t="s">
        <v>114</v>
      </c>
      <c r="K4" s="32"/>
      <c r="M4" s="33" t="s">
        <v>97</v>
      </c>
      <c r="N4" s="285"/>
      <c r="O4" s="34"/>
      <c r="P4" s="35"/>
    </row>
    <row r="5" spans="1:19" x14ac:dyDescent="0.35">
      <c r="J5" s="36" t="str">
        <f>calc!H10</f>
        <v>Please complete 36 Rating(s) in column D before using the Learning Plan.</v>
      </c>
      <c r="K5" s="37"/>
      <c r="L5" s="38"/>
      <c r="M5" s="38"/>
      <c r="N5" s="43"/>
      <c r="O5" s="39"/>
      <c r="P5" s="38"/>
    </row>
    <row r="6" spans="1:19" ht="43.5" x14ac:dyDescent="0.35">
      <c r="A6" s="45" t="s">
        <v>94</v>
      </c>
      <c r="B6" s="46" t="s">
        <v>0</v>
      </c>
      <c r="C6" s="47" t="s">
        <v>1</v>
      </c>
      <c r="D6" s="48" t="s">
        <v>84</v>
      </c>
      <c r="E6" s="45" t="s">
        <v>85</v>
      </c>
      <c r="F6" s="45" t="s">
        <v>86</v>
      </c>
      <c r="G6" s="49" t="s">
        <v>95</v>
      </c>
      <c r="H6" s="50" t="s">
        <v>90</v>
      </c>
      <c r="J6" s="60" t="s">
        <v>98</v>
      </c>
      <c r="K6" s="61" t="s">
        <v>1</v>
      </c>
      <c r="L6" s="62" t="s">
        <v>99</v>
      </c>
      <c r="M6" s="62" t="s">
        <v>100</v>
      </c>
      <c r="N6" s="291" t="s">
        <v>101</v>
      </c>
      <c r="O6" s="63" t="s">
        <v>95</v>
      </c>
      <c r="P6" s="38"/>
    </row>
    <row r="7" spans="1:19" ht="18.5" x14ac:dyDescent="0.35">
      <c r="A7" s="1">
        <v>1</v>
      </c>
      <c r="B7" s="24" t="s">
        <v>2</v>
      </c>
      <c r="C7" s="21" t="s">
        <v>3</v>
      </c>
      <c r="D7" s="57"/>
      <c r="E7" s="2" t="str">
        <f>EnterData_6[[#This Row],[Essential]]&amp;""</f>
        <v>Y</v>
      </c>
      <c r="F7" s="288"/>
      <c r="G7" s="52"/>
      <c r="H7" s="24" t="s">
        <v>91</v>
      </c>
      <c r="J7" s="38" t="str">
        <f>calc!H13&amp;""</f>
        <v/>
      </c>
      <c r="K7" s="37" t="str">
        <f>_xlfn.LET(_xlpm.x,INDEX(EnterData_8[Competencies],MATCH(J7,EnterData_8[Competency Num],0),1),IF(ISERROR(_xlpm.x),"",_xlpm.x))</f>
        <v/>
      </c>
      <c r="L7" s="294"/>
      <c r="M7" s="295"/>
      <c r="N7" s="296"/>
      <c r="O7" s="296"/>
      <c r="P7" s="20"/>
      <c r="Q7" s="20"/>
      <c r="R7" s="20"/>
      <c r="S7" s="20"/>
    </row>
    <row r="8" spans="1:19" ht="29" x14ac:dyDescent="0.35">
      <c r="A8" s="3">
        <v>2</v>
      </c>
      <c r="B8" s="25" t="s">
        <v>5</v>
      </c>
      <c r="C8" s="4" t="s">
        <v>6</v>
      </c>
      <c r="D8" s="58"/>
      <c r="E8" s="5" t="str">
        <f>EnterData_6[[#This Row],[Essential]]&amp;""</f>
        <v>Y</v>
      </c>
      <c r="F8" s="289"/>
      <c r="G8" s="53"/>
      <c r="H8" s="25" t="s">
        <v>91</v>
      </c>
      <c r="J8" s="38" t="str">
        <f>calc!H14&amp;""</f>
        <v/>
      </c>
      <c r="K8" s="37" t="str">
        <f>_xlfn.LET(_xlpm.x,INDEX(EnterData_8[Competencies],MATCH(J8,EnterData_8[Competency Num],0),1),IF(ISERROR(_xlpm.x),"",_xlpm.x))</f>
        <v/>
      </c>
      <c r="L8" s="294"/>
      <c r="M8" s="295"/>
      <c r="N8" s="296"/>
      <c r="O8" s="296"/>
      <c r="P8" s="20"/>
      <c r="Q8" s="20"/>
      <c r="R8" s="20"/>
      <c r="S8" s="20"/>
    </row>
    <row r="9" spans="1:19" ht="72.5" x14ac:dyDescent="0.35">
      <c r="A9" s="3">
        <v>3</v>
      </c>
      <c r="B9" s="25" t="s">
        <v>8</v>
      </c>
      <c r="C9" s="4" t="s">
        <v>9</v>
      </c>
      <c r="D9" s="58"/>
      <c r="E9" s="5" t="str">
        <f>EnterData_6[[#This Row],[Essential]]&amp;""</f>
        <v>Y</v>
      </c>
      <c r="F9" s="289"/>
      <c r="G9" s="53"/>
      <c r="H9" s="25" t="s">
        <v>91</v>
      </c>
      <c r="J9" s="38" t="str">
        <f>calc!H15&amp;""</f>
        <v/>
      </c>
      <c r="K9" s="37" t="str">
        <f>_xlfn.LET(_xlpm.x,INDEX(EnterData_8[Competencies],MATCH(J9,EnterData_8[Competency Num],0),1),IF(ISERROR(_xlpm.x),"",_xlpm.x))</f>
        <v/>
      </c>
      <c r="L9" s="294"/>
      <c r="M9" s="295"/>
      <c r="N9" s="296"/>
      <c r="O9" s="296"/>
      <c r="P9" s="20"/>
      <c r="Q9" s="20"/>
      <c r="R9" s="20"/>
      <c r="S9" s="20"/>
    </row>
    <row r="10" spans="1:19" ht="43.5" x14ac:dyDescent="0.35">
      <c r="A10" s="3">
        <v>4</v>
      </c>
      <c r="B10" s="25" t="s">
        <v>10</v>
      </c>
      <c r="C10" s="4" t="s">
        <v>11</v>
      </c>
      <c r="D10" s="58"/>
      <c r="E10" s="5" t="str">
        <f>EnterData_6[[#This Row],[Essential]]&amp;""</f>
        <v>Y</v>
      </c>
      <c r="F10" s="289"/>
      <c r="G10" s="53"/>
      <c r="H10" s="25" t="s">
        <v>91</v>
      </c>
      <c r="J10" s="38" t="str">
        <f>calc!H16&amp;""</f>
        <v/>
      </c>
      <c r="K10" s="37" t="str">
        <f>_xlfn.LET(_xlpm.x,INDEX(EnterData_8[Competencies],MATCH(J10,EnterData_8[Competency Num],0),1),IF(ISERROR(_xlpm.x),"",_xlpm.x))</f>
        <v/>
      </c>
      <c r="L10" s="294"/>
      <c r="M10" s="295"/>
      <c r="N10" s="296"/>
      <c r="O10" s="296"/>
      <c r="P10" s="20"/>
      <c r="Q10" s="20"/>
      <c r="R10" s="20"/>
      <c r="S10" s="20"/>
    </row>
    <row r="11" spans="1:19" ht="58" x14ac:dyDescent="0.35">
      <c r="A11" s="3">
        <v>5</v>
      </c>
      <c r="B11" s="25" t="s">
        <v>12</v>
      </c>
      <c r="C11" s="4" t="s">
        <v>13</v>
      </c>
      <c r="D11" s="58"/>
      <c r="E11" s="5" t="str">
        <f>EnterData_6[[#This Row],[Essential]]&amp;""</f>
        <v>Y</v>
      </c>
      <c r="F11" s="289"/>
      <c r="G11" s="53"/>
      <c r="H11" s="25" t="s">
        <v>91</v>
      </c>
      <c r="J11" s="38" t="str">
        <f>calc!H17&amp;""</f>
        <v/>
      </c>
      <c r="K11" s="37" t="str">
        <f>_xlfn.LET(_xlpm.x,INDEX(EnterData_8[Competencies],MATCH(J11,EnterData_8[Competency Num],0),1),IF(ISERROR(_xlpm.x),"",_xlpm.x))</f>
        <v/>
      </c>
      <c r="L11" s="294"/>
      <c r="M11" s="295"/>
      <c r="N11" s="296"/>
      <c r="O11" s="296"/>
      <c r="P11" s="20"/>
      <c r="Q11" s="20"/>
      <c r="R11" s="20"/>
      <c r="S11" s="20"/>
    </row>
    <row r="12" spans="1:19" ht="43.5" x14ac:dyDescent="0.35">
      <c r="A12" s="3">
        <v>6</v>
      </c>
      <c r="B12" s="25" t="s">
        <v>15</v>
      </c>
      <c r="C12" s="4" t="s">
        <v>16</v>
      </c>
      <c r="D12" s="58"/>
      <c r="E12" s="5" t="str">
        <f>EnterData_6[[#This Row],[Essential]]&amp;""</f>
        <v>Y</v>
      </c>
      <c r="F12" s="289"/>
      <c r="G12" s="53"/>
      <c r="H12" s="25" t="s">
        <v>91</v>
      </c>
      <c r="J12" s="38" t="str">
        <f>calc!H18&amp;""</f>
        <v/>
      </c>
      <c r="K12" s="37" t="str">
        <f>_xlfn.LET(_xlpm.x,INDEX(EnterData_8[Competencies],MATCH(J12,EnterData_8[Competency Num],0),1),IF(ISERROR(_xlpm.x),"",_xlpm.x))</f>
        <v/>
      </c>
      <c r="L12" s="294"/>
      <c r="M12" s="295"/>
      <c r="N12" s="296"/>
      <c r="O12" s="296"/>
      <c r="P12" s="20"/>
      <c r="Q12" s="20"/>
      <c r="R12" s="20"/>
      <c r="S12" s="20"/>
    </row>
    <row r="13" spans="1:19" ht="58" x14ac:dyDescent="0.35">
      <c r="A13" s="3">
        <v>7</v>
      </c>
      <c r="B13" s="25" t="s">
        <v>17</v>
      </c>
      <c r="C13" s="4" t="s">
        <v>18</v>
      </c>
      <c r="D13" s="58"/>
      <c r="E13" s="5" t="str">
        <f>EnterData_6[[#This Row],[Essential]]&amp;""</f>
        <v>Y</v>
      </c>
      <c r="F13" s="289"/>
      <c r="G13" s="53"/>
      <c r="H13" s="25" t="s">
        <v>91</v>
      </c>
      <c r="J13" s="38" t="str">
        <f>calc!H19&amp;""</f>
        <v/>
      </c>
      <c r="K13" s="37" t="str">
        <f>_xlfn.LET(_xlpm.x,INDEX(EnterData_8[Competencies],MATCH(J13,EnterData_8[Competency Num],0),1),IF(ISERROR(_xlpm.x),"",_xlpm.x))</f>
        <v/>
      </c>
      <c r="L13" s="294"/>
      <c r="M13" s="295"/>
      <c r="N13" s="296"/>
      <c r="O13" s="296"/>
      <c r="P13" s="20"/>
      <c r="Q13" s="20"/>
      <c r="R13" s="20"/>
      <c r="S13" s="20"/>
    </row>
    <row r="14" spans="1:19" ht="58" x14ac:dyDescent="0.35">
      <c r="A14" s="3">
        <v>8</v>
      </c>
      <c r="B14" s="25" t="s">
        <v>19</v>
      </c>
      <c r="C14" s="4" t="s">
        <v>20</v>
      </c>
      <c r="D14" s="58"/>
      <c r="E14" s="5" t="str">
        <f>EnterData_6[[#This Row],[Essential]]&amp;""</f>
        <v>N</v>
      </c>
      <c r="F14" s="289"/>
      <c r="G14" s="53"/>
      <c r="H14" s="25" t="s">
        <v>91</v>
      </c>
      <c r="J14" s="38" t="str">
        <f>calc!H20&amp;""</f>
        <v/>
      </c>
      <c r="K14" s="37" t="str">
        <f>_xlfn.LET(_xlpm.x,INDEX(EnterData_8[Competencies],MATCH(J14,EnterData_8[Competency Num],0),1),IF(ISERROR(_xlpm.x),"",_xlpm.x))</f>
        <v/>
      </c>
      <c r="L14" s="294"/>
      <c r="M14" s="295"/>
      <c r="N14" s="296"/>
      <c r="O14" s="296"/>
      <c r="P14" s="20"/>
      <c r="Q14" s="20"/>
      <c r="R14" s="20"/>
      <c r="S14" s="20"/>
    </row>
    <row r="15" spans="1:19" ht="29" x14ac:dyDescent="0.35">
      <c r="A15" s="3">
        <v>9</v>
      </c>
      <c r="B15" s="25" t="s">
        <v>21</v>
      </c>
      <c r="C15" s="4" t="s">
        <v>22</v>
      </c>
      <c r="D15" s="58"/>
      <c r="E15" s="5" t="str">
        <f>EnterData_6[[#This Row],[Essential]]&amp;""</f>
        <v>Y</v>
      </c>
      <c r="F15" s="289"/>
      <c r="G15" s="53"/>
      <c r="H15" s="25" t="s">
        <v>91</v>
      </c>
      <c r="J15" s="38" t="str">
        <f>calc!H21&amp;""</f>
        <v/>
      </c>
      <c r="K15" s="37" t="str">
        <f>_xlfn.LET(_xlpm.x,INDEX(EnterData_8[Competencies],MATCH(J15,EnterData_8[Competency Num],0),1),IF(ISERROR(_xlpm.x),"",_xlpm.x))</f>
        <v/>
      </c>
      <c r="L15" s="294"/>
      <c r="M15" s="295"/>
      <c r="N15" s="296"/>
      <c r="O15" s="296"/>
      <c r="P15" s="20"/>
      <c r="Q15" s="20"/>
      <c r="R15" s="20"/>
      <c r="S15" s="20"/>
    </row>
    <row r="16" spans="1:19" ht="58" x14ac:dyDescent="0.35">
      <c r="A16" s="3">
        <v>10</v>
      </c>
      <c r="B16" s="319" t="s">
        <v>23</v>
      </c>
      <c r="C16" s="320" t="s">
        <v>24</v>
      </c>
      <c r="D16" s="299"/>
      <c r="E16" s="300" t="str">
        <f>EnterData_6[[#This Row],[Essential]]&amp;""</f>
        <v>Y</v>
      </c>
      <c r="F16" s="301"/>
      <c r="G16" s="302"/>
      <c r="H16" s="25" t="s">
        <v>91</v>
      </c>
      <c r="J16" s="38" t="str">
        <f>calc!H22&amp;""</f>
        <v/>
      </c>
      <c r="K16" s="37" t="str">
        <f>_xlfn.LET(_xlpm.x,INDEX(EnterData_8[Competencies],MATCH(J16,EnterData_8[Competency Num],0),1),IF(ISERROR(_xlpm.x),"",_xlpm.x))</f>
        <v/>
      </c>
      <c r="L16" s="294"/>
      <c r="M16" s="295"/>
      <c r="N16" s="296"/>
      <c r="O16" s="296"/>
      <c r="P16" s="20"/>
      <c r="Q16" s="20"/>
      <c r="R16" s="20"/>
      <c r="S16" s="20"/>
    </row>
    <row r="17" spans="1:19" ht="58" x14ac:dyDescent="0.35">
      <c r="A17" s="6">
        <v>11</v>
      </c>
      <c r="B17" s="316" t="s">
        <v>25</v>
      </c>
      <c r="C17" s="317" t="s">
        <v>26</v>
      </c>
      <c r="D17" s="57"/>
      <c r="E17" s="2" t="str">
        <f>EnterData_6[[#This Row],[Essential]]&amp;""</f>
        <v>Y</v>
      </c>
      <c r="F17" s="288"/>
      <c r="G17" s="318"/>
      <c r="H17" s="26" t="s">
        <v>92</v>
      </c>
      <c r="J17" s="38" t="str">
        <f>calc!H23&amp;""</f>
        <v/>
      </c>
      <c r="K17" s="37" t="str">
        <f>_xlfn.LET(_xlpm.x,INDEX(EnterData_8[Competencies],MATCH(J17,EnterData_8[Competency Num],0),1),IF(ISERROR(_xlpm.x),"",_xlpm.x))</f>
        <v/>
      </c>
      <c r="L17" s="294"/>
      <c r="M17" s="295"/>
      <c r="N17" s="296"/>
      <c r="O17" s="296"/>
      <c r="P17" s="20"/>
      <c r="Q17" s="20"/>
      <c r="R17" s="20"/>
      <c r="S17" s="20"/>
    </row>
    <row r="18" spans="1:19" ht="29" x14ac:dyDescent="0.35">
      <c r="A18" s="6">
        <v>12</v>
      </c>
      <c r="B18" s="26" t="s">
        <v>27</v>
      </c>
      <c r="C18" s="7" t="s">
        <v>28</v>
      </c>
      <c r="D18" s="58"/>
      <c r="E18" s="5" t="str">
        <f>EnterData_6[[#This Row],[Essential]]&amp;""</f>
        <v>Y</v>
      </c>
      <c r="F18" s="289"/>
      <c r="G18" s="53"/>
      <c r="H18" s="26" t="s">
        <v>92</v>
      </c>
      <c r="J18" s="38" t="str">
        <f>calc!H24&amp;""</f>
        <v/>
      </c>
      <c r="K18" s="37" t="str">
        <f>_xlfn.LET(_xlpm.x,INDEX(EnterData_8[Competencies],MATCH(J18,EnterData_8[Competency Num],0),1),IF(ISERROR(_xlpm.x),"",_xlpm.x))</f>
        <v/>
      </c>
      <c r="L18" s="294"/>
      <c r="M18" s="295"/>
      <c r="N18" s="296"/>
      <c r="O18" s="296"/>
      <c r="P18" s="20"/>
      <c r="Q18" s="20"/>
      <c r="R18" s="20"/>
      <c r="S18" s="20"/>
    </row>
    <row r="19" spans="1:19" ht="43.5" x14ac:dyDescent="0.35">
      <c r="A19" s="6">
        <v>13</v>
      </c>
      <c r="B19" s="26" t="s">
        <v>29</v>
      </c>
      <c r="C19" s="7" t="s">
        <v>30</v>
      </c>
      <c r="D19" s="58"/>
      <c r="E19" s="5" t="str">
        <f>EnterData_6[[#This Row],[Essential]]&amp;""</f>
        <v>Y</v>
      </c>
      <c r="F19" s="289"/>
      <c r="G19" s="53"/>
      <c r="H19" s="26" t="s">
        <v>92</v>
      </c>
      <c r="J19" s="38" t="str">
        <f>calc!H25&amp;""</f>
        <v/>
      </c>
      <c r="K19" s="37" t="str">
        <f>_xlfn.LET(_xlpm.x,INDEX(EnterData_8[Competencies],MATCH(J19,EnterData_8[Competency Num],0),1),IF(ISERROR(_xlpm.x),"",_xlpm.x))</f>
        <v/>
      </c>
      <c r="L19" s="294"/>
      <c r="M19" s="295"/>
      <c r="N19" s="296"/>
      <c r="O19" s="296"/>
      <c r="P19" s="20"/>
      <c r="Q19" s="20"/>
      <c r="R19" s="20"/>
      <c r="S19" s="20"/>
    </row>
    <row r="20" spans="1:19" ht="43.5" x14ac:dyDescent="0.35">
      <c r="A20" s="6">
        <v>14</v>
      </c>
      <c r="B20" s="26" t="s">
        <v>31</v>
      </c>
      <c r="C20" s="7" t="s">
        <v>32</v>
      </c>
      <c r="D20" s="58"/>
      <c r="E20" s="5" t="str">
        <f>EnterData_6[[#This Row],[Essential]]&amp;""</f>
        <v>N</v>
      </c>
      <c r="F20" s="289"/>
      <c r="G20" s="53"/>
      <c r="H20" s="26" t="s">
        <v>92</v>
      </c>
      <c r="J20" s="38" t="str">
        <f>calc!H26&amp;""</f>
        <v/>
      </c>
      <c r="K20" s="37" t="str">
        <f>_xlfn.LET(_xlpm.x,INDEX(EnterData_8[Competencies],MATCH(J20,EnterData_8[Competency Num],0),1),IF(ISERROR(_xlpm.x),"",_xlpm.x))</f>
        <v/>
      </c>
      <c r="L20" s="294"/>
      <c r="M20" s="295"/>
      <c r="N20" s="296"/>
      <c r="O20" s="296"/>
      <c r="P20" s="20"/>
      <c r="Q20" s="20"/>
      <c r="R20" s="20"/>
      <c r="S20" s="20"/>
    </row>
    <row r="21" spans="1:19" ht="58" x14ac:dyDescent="0.35">
      <c r="A21" s="6">
        <v>15</v>
      </c>
      <c r="B21" s="26" t="s">
        <v>33</v>
      </c>
      <c r="C21" s="7" t="s">
        <v>34</v>
      </c>
      <c r="D21" s="58"/>
      <c r="E21" s="5" t="str">
        <f>EnterData_6[[#This Row],[Essential]]&amp;""</f>
        <v>Y</v>
      </c>
      <c r="F21" s="289"/>
      <c r="G21" s="53"/>
      <c r="H21" s="26" t="s">
        <v>92</v>
      </c>
      <c r="J21" s="38" t="str">
        <f>calc!H27&amp;""</f>
        <v/>
      </c>
      <c r="K21" s="37" t="str">
        <f>_xlfn.LET(_xlpm.x,INDEX(EnterData_8[Competencies],MATCH(J21,EnterData_8[Competency Num],0),1),IF(ISERROR(_xlpm.x),"",_xlpm.x))</f>
        <v/>
      </c>
      <c r="L21" s="294"/>
      <c r="M21" s="295"/>
      <c r="N21" s="296"/>
      <c r="O21" s="296"/>
      <c r="P21" s="20"/>
      <c r="Q21" s="20"/>
      <c r="R21" s="20"/>
      <c r="S21" s="20"/>
    </row>
    <row r="22" spans="1:19" ht="29" x14ac:dyDescent="0.35">
      <c r="A22" s="6">
        <v>16</v>
      </c>
      <c r="B22" s="26" t="s">
        <v>35</v>
      </c>
      <c r="C22" s="7" t="s">
        <v>36</v>
      </c>
      <c r="D22" s="58"/>
      <c r="E22" s="5" t="str">
        <f>EnterData_6[[#This Row],[Essential]]&amp;""</f>
        <v>Y</v>
      </c>
      <c r="F22" s="289"/>
      <c r="G22" s="53"/>
      <c r="H22" s="26" t="s">
        <v>92</v>
      </c>
      <c r="J22" s="38" t="str">
        <f>calc!H28&amp;""</f>
        <v/>
      </c>
      <c r="K22" s="37" t="str">
        <f>_xlfn.LET(_xlpm.x,INDEX(EnterData_8[Competencies],MATCH(J22,EnterData_8[Competency Num],0),1),IF(ISERROR(_xlpm.x),"",_xlpm.x))</f>
        <v/>
      </c>
      <c r="L22" s="294"/>
      <c r="M22" s="295"/>
      <c r="N22" s="296"/>
      <c r="O22" s="296"/>
      <c r="P22" s="20"/>
      <c r="Q22" s="20"/>
      <c r="R22" s="20"/>
      <c r="S22" s="20"/>
    </row>
    <row r="23" spans="1:19" ht="43.5" x14ac:dyDescent="0.35">
      <c r="A23" s="6">
        <v>17</v>
      </c>
      <c r="B23" s="26" t="s">
        <v>37</v>
      </c>
      <c r="C23" s="7" t="s">
        <v>38</v>
      </c>
      <c r="D23" s="58"/>
      <c r="E23" s="5" t="str">
        <f>EnterData_6[[#This Row],[Essential]]&amp;""</f>
        <v>Y</v>
      </c>
      <c r="F23" s="289"/>
      <c r="G23" s="53"/>
      <c r="H23" s="26" t="s">
        <v>92</v>
      </c>
      <c r="J23" s="38" t="str">
        <f>calc!H29&amp;""</f>
        <v/>
      </c>
      <c r="K23" s="37" t="str">
        <f>_xlfn.LET(_xlpm.x,INDEX(EnterData_8[Competencies],MATCH(J23,EnterData_8[Competency Num],0),1),IF(ISERROR(_xlpm.x),"",_xlpm.x))</f>
        <v/>
      </c>
      <c r="L23" s="294"/>
      <c r="M23" s="295"/>
      <c r="N23" s="296"/>
      <c r="O23" s="296"/>
      <c r="P23" s="20"/>
      <c r="Q23" s="20"/>
      <c r="R23" s="20"/>
      <c r="S23" s="20"/>
    </row>
    <row r="24" spans="1:19" ht="43.5" x14ac:dyDescent="0.35">
      <c r="A24" s="6">
        <v>18</v>
      </c>
      <c r="B24" s="26" t="s">
        <v>39</v>
      </c>
      <c r="C24" s="7" t="s">
        <v>40</v>
      </c>
      <c r="D24" s="58"/>
      <c r="E24" s="5" t="str">
        <f>EnterData_6[[#This Row],[Essential]]&amp;""</f>
        <v>N</v>
      </c>
      <c r="F24" s="289"/>
      <c r="G24" s="53"/>
      <c r="H24" s="26" t="s">
        <v>92</v>
      </c>
      <c r="J24" s="38" t="str">
        <f>calc!H30&amp;""</f>
        <v/>
      </c>
      <c r="K24" s="37" t="str">
        <f>_xlfn.LET(_xlpm.x,INDEX(EnterData_8[Competencies],MATCH(J24,EnterData_8[Competency Num],0),1),IF(ISERROR(_xlpm.x),"",_xlpm.x))</f>
        <v/>
      </c>
      <c r="L24" s="294"/>
      <c r="M24" s="295"/>
      <c r="N24" s="296"/>
      <c r="O24" s="296"/>
      <c r="P24" s="20"/>
      <c r="Q24" s="20"/>
      <c r="R24" s="20"/>
      <c r="S24" s="20"/>
    </row>
    <row r="25" spans="1:19" ht="43.5" x14ac:dyDescent="0.35">
      <c r="A25" s="6">
        <v>19</v>
      </c>
      <c r="B25" s="26" t="s">
        <v>41</v>
      </c>
      <c r="C25" s="7" t="s">
        <v>42</v>
      </c>
      <c r="D25" s="58"/>
      <c r="E25" s="5" t="str">
        <f>EnterData_6[[#This Row],[Essential]]&amp;""</f>
        <v>Y</v>
      </c>
      <c r="F25" s="289"/>
      <c r="G25" s="53"/>
      <c r="H25" s="26" t="s">
        <v>92</v>
      </c>
      <c r="J25" s="38" t="str">
        <f>calc!H31&amp;""</f>
        <v/>
      </c>
      <c r="K25" s="37" t="str">
        <f>_xlfn.LET(_xlpm.x,INDEX(EnterData_8[Competencies],MATCH(J25,EnterData_8[Competency Num],0),1),IF(ISERROR(_xlpm.x),"",_xlpm.x))</f>
        <v/>
      </c>
      <c r="L25" s="294"/>
      <c r="M25" s="295"/>
      <c r="N25" s="296"/>
      <c r="O25" s="296"/>
      <c r="P25" s="20"/>
      <c r="Q25" s="20"/>
      <c r="R25" s="20"/>
      <c r="S25" s="20"/>
    </row>
    <row r="26" spans="1:19" ht="29" x14ac:dyDescent="0.35">
      <c r="A26" s="6">
        <v>20</v>
      </c>
      <c r="B26" s="26" t="s">
        <v>43</v>
      </c>
      <c r="C26" s="7" t="s">
        <v>44</v>
      </c>
      <c r="D26" s="58"/>
      <c r="E26" s="5" t="str">
        <f>EnterData_6[[#This Row],[Essential]]&amp;""</f>
        <v>Y</v>
      </c>
      <c r="F26" s="289"/>
      <c r="G26" s="53"/>
      <c r="H26" s="26" t="s">
        <v>92</v>
      </c>
      <c r="J26" s="38" t="str">
        <f>calc!H32&amp;""</f>
        <v/>
      </c>
      <c r="K26" s="37" t="str">
        <f>_xlfn.LET(_xlpm.x,INDEX(EnterData_8[Competencies],MATCH(J26,EnterData_8[Competency Num],0),1),IF(ISERROR(_xlpm.x),"",_xlpm.x))</f>
        <v/>
      </c>
      <c r="L26" s="294"/>
      <c r="M26" s="295"/>
      <c r="N26" s="296"/>
      <c r="O26" s="296"/>
      <c r="P26" s="20"/>
      <c r="Q26" s="20"/>
      <c r="R26" s="20"/>
      <c r="S26" s="20"/>
    </row>
    <row r="27" spans="1:19" ht="29" x14ac:dyDescent="0.35">
      <c r="A27" s="6">
        <v>21</v>
      </c>
      <c r="B27" s="26" t="s">
        <v>45</v>
      </c>
      <c r="C27" s="7" t="s">
        <v>46</v>
      </c>
      <c r="D27" s="58"/>
      <c r="E27" s="5" t="str">
        <f>EnterData_6[[#This Row],[Essential]]&amp;""</f>
        <v>Y</v>
      </c>
      <c r="F27" s="289"/>
      <c r="G27" s="53"/>
      <c r="H27" s="26" t="s">
        <v>92</v>
      </c>
      <c r="J27" s="38" t="str">
        <f>calc!H33&amp;""</f>
        <v/>
      </c>
      <c r="K27" s="37" t="str">
        <f>_xlfn.LET(_xlpm.x,INDEX(EnterData_8[Competencies],MATCH(J27,EnterData_8[Competency Num],0),1),IF(ISERROR(_xlpm.x),"",_xlpm.x))</f>
        <v/>
      </c>
      <c r="L27" s="294"/>
      <c r="M27" s="295"/>
      <c r="N27" s="296"/>
      <c r="O27" s="296"/>
      <c r="P27" s="20"/>
      <c r="Q27" s="20"/>
      <c r="R27" s="20"/>
      <c r="S27" s="20"/>
    </row>
    <row r="28" spans="1:19" ht="43.5" x14ac:dyDescent="0.35">
      <c r="A28" s="6">
        <v>22</v>
      </c>
      <c r="B28" s="26" t="s">
        <v>47</v>
      </c>
      <c r="C28" s="7" t="s">
        <v>48</v>
      </c>
      <c r="D28" s="58"/>
      <c r="E28" s="5" t="str">
        <f>EnterData_6[[#This Row],[Essential]]&amp;""</f>
        <v>Y</v>
      </c>
      <c r="F28" s="289"/>
      <c r="G28" s="53"/>
      <c r="H28" s="26" t="s">
        <v>92</v>
      </c>
      <c r="J28" s="38" t="str">
        <f>calc!H34&amp;""</f>
        <v/>
      </c>
      <c r="K28" s="37" t="str">
        <f>_xlfn.LET(_xlpm.x,INDEX(EnterData_8[Competencies],MATCH(J28,EnterData_8[Competency Num],0),1),IF(ISERROR(_xlpm.x),"",_xlpm.x))</f>
        <v/>
      </c>
      <c r="L28" s="294"/>
      <c r="M28" s="295"/>
      <c r="N28" s="296"/>
      <c r="O28" s="296"/>
      <c r="P28" s="20"/>
      <c r="Q28" s="20"/>
      <c r="R28" s="20"/>
      <c r="S28" s="20"/>
    </row>
    <row r="29" spans="1:19" ht="43.5" x14ac:dyDescent="0.35">
      <c r="A29" s="6">
        <v>23</v>
      </c>
      <c r="B29" s="322" t="s">
        <v>49</v>
      </c>
      <c r="C29" s="323" t="s">
        <v>50</v>
      </c>
      <c r="D29" s="299"/>
      <c r="E29" s="300" t="str">
        <f>EnterData_6[[#This Row],[Essential]]&amp;""</f>
        <v>Y</v>
      </c>
      <c r="F29" s="301"/>
      <c r="G29" s="302"/>
      <c r="H29" s="26" t="s">
        <v>92</v>
      </c>
      <c r="J29" s="38" t="str">
        <f>calc!H35&amp;""</f>
        <v/>
      </c>
      <c r="K29" s="37" t="str">
        <f>_xlfn.LET(_xlpm.x,INDEX(EnterData_8[Competencies],MATCH(J29,EnterData_8[Competency Num],0),1),IF(ISERROR(_xlpm.x),"",_xlpm.x))</f>
        <v/>
      </c>
      <c r="L29" s="294"/>
      <c r="M29" s="295"/>
      <c r="N29" s="296"/>
      <c r="O29" s="296"/>
      <c r="P29" s="20"/>
      <c r="Q29" s="20"/>
      <c r="R29" s="20"/>
      <c r="S29" s="20"/>
    </row>
    <row r="30" spans="1:19" ht="29" x14ac:dyDescent="0.35">
      <c r="A30" s="8">
        <v>24</v>
      </c>
      <c r="B30" s="321" t="s">
        <v>51</v>
      </c>
      <c r="C30" s="21" t="s">
        <v>52</v>
      </c>
      <c r="D30" s="57"/>
      <c r="E30" s="2" t="str">
        <f>EnterData_6[[#This Row],[Essential]]&amp;""</f>
        <v>N</v>
      </c>
      <c r="F30" s="288"/>
      <c r="G30" s="318"/>
      <c r="H30" s="27" t="s">
        <v>93</v>
      </c>
      <c r="J30" s="38" t="str">
        <f>calc!H36&amp;""</f>
        <v/>
      </c>
      <c r="K30" s="37" t="str">
        <f>_xlfn.LET(_xlpm.x,INDEX(EnterData_8[Competencies],MATCH(J30,EnterData_8[Competency Num],0),1),IF(ISERROR(_xlpm.x),"",_xlpm.x))</f>
        <v/>
      </c>
      <c r="L30" s="294"/>
      <c r="M30" s="295"/>
      <c r="N30" s="296"/>
      <c r="O30" s="296"/>
      <c r="P30" s="20"/>
      <c r="Q30" s="20"/>
      <c r="R30" s="20"/>
      <c r="S30" s="20"/>
    </row>
    <row r="31" spans="1:19" ht="43.5" x14ac:dyDescent="0.35">
      <c r="A31" s="8">
        <v>25</v>
      </c>
      <c r="B31" s="27" t="s">
        <v>53</v>
      </c>
      <c r="C31" s="4" t="s">
        <v>54</v>
      </c>
      <c r="D31" s="58"/>
      <c r="E31" s="5" t="str">
        <f>EnterData_6[[#This Row],[Essential]]&amp;""</f>
        <v>Y</v>
      </c>
      <c r="F31" s="289"/>
      <c r="G31" s="53"/>
      <c r="H31" s="27" t="s">
        <v>93</v>
      </c>
      <c r="J31" s="38" t="str">
        <f>calc!H37&amp;""</f>
        <v/>
      </c>
      <c r="K31" s="37" t="str">
        <f>_xlfn.LET(_xlpm.x,INDEX(EnterData_8[Competencies],MATCH(J31,EnterData_8[Competency Num],0),1),IF(ISERROR(_xlpm.x),"",_xlpm.x))</f>
        <v/>
      </c>
      <c r="L31" s="294"/>
      <c r="M31" s="295"/>
      <c r="N31" s="296"/>
      <c r="O31" s="296"/>
      <c r="P31" s="20"/>
      <c r="Q31" s="20"/>
      <c r="R31" s="20"/>
      <c r="S31" s="20"/>
    </row>
    <row r="32" spans="1:19" ht="29" x14ac:dyDescent="0.35">
      <c r="A32" s="8">
        <v>26</v>
      </c>
      <c r="B32" s="27" t="s">
        <v>55</v>
      </c>
      <c r="C32" s="4" t="s">
        <v>56</v>
      </c>
      <c r="D32" s="58"/>
      <c r="E32" s="5" t="str">
        <f>EnterData_6[[#This Row],[Essential]]&amp;""</f>
        <v>Y</v>
      </c>
      <c r="F32" s="289"/>
      <c r="G32" s="53"/>
      <c r="H32" s="27" t="s">
        <v>93</v>
      </c>
      <c r="J32" s="38" t="str">
        <f>calc!H38&amp;""</f>
        <v/>
      </c>
      <c r="K32" s="37" t="str">
        <f>_xlfn.LET(_xlpm.x,INDEX(EnterData_8[Competencies],MATCH(J32,EnterData_8[Competency Num],0),1),IF(ISERROR(_xlpm.x),"",_xlpm.x))</f>
        <v/>
      </c>
      <c r="L32" s="294"/>
      <c r="M32" s="295"/>
      <c r="N32" s="296"/>
      <c r="O32" s="296"/>
      <c r="P32" s="20"/>
      <c r="Q32" s="20"/>
      <c r="R32" s="20"/>
      <c r="S32" s="20"/>
    </row>
    <row r="33" spans="1:19" ht="29" x14ac:dyDescent="0.35">
      <c r="A33" s="8">
        <v>27</v>
      </c>
      <c r="B33" s="27" t="s">
        <v>57</v>
      </c>
      <c r="C33" s="4" t="s">
        <v>58</v>
      </c>
      <c r="D33" s="58"/>
      <c r="E33" s="5" t="str">
        <f>EnterData_6[[#This Row],[Essential]]&amp;""</f>
        <v>Y</v>
      </c>
      <c r="F33" s="289"/>
      <c r="G33" s="53"/>
      <c r="H33" s="27" t="s">
        <v>93</v>
      </c>
      <c r="J33" s="38" t="str">
        <f>calc!H39&amp;""</f>
        <v/>
      </c>
      <c r="K33" s="37" t="str">
        <f>_xlfn.LET(_xlpm.x,INDEX(EnterData_8[Competencies],MATCH(J33,EnterData_8[Competency Num],0),1),IF(ISERROR(_xlpm.x),"",_xlpm.x))</f>
        <v/>
      </c>
      <c r="L33" s="294"/>
      <c r="M33" s="295"/>
      <c r="N33" s="296"/>
      <c r="O33" s="296"/>
      <c r="P33" s="20"/>
      <c r="Q33" s="20"/>
      <c r="R33" s="20"/>
      <c r="S33" s="20"/>
    </row>
    <row r="34" spans="1:19" ht="29" x14ac:dyDescent="0.35">
      <c r="A34" s="8">
        <v>28</v>
      </c>
      <c r="B34" s="27" t="s">
        <v>59</v>
      </c>
      <c r="C34" s="4" t="s">
        <v>60</v>
      </c>
      <c r="D34" s="58"/>
      <c r="E34" s="5" t="str">
        <f>EnterData_6[[#This Row],[Essential]]&amp;""</f>
        <v>Y</v>
      </c>
      <c r="F34" s="289"/>
      <c r="G34" s="53"/>
      <c r="H34" s="27" t="s">
        <v>93</v>
      </c>
      <c r="J34" s="38" t="str">
        <f>calc!H40&amp;""</f>
        <v/>
      </c>
      <c r="K34" s="37" t="str">
        <f>_xlfn.LET(_xlpm.x,INDEX(EnterData_8[Competencies],MATCH(J34,EnterData_8[Competency Num],0),1),IF(ISERROR(_xlpm.x),"",_xlpm.x))</f>
        <v/>
      </c>
      <c r="L34" s="294"/>
      <c r="M34" s="295"/>
      <c r="N34" s="296"/>
      <c r="O34" s="296"/>
      <c r="P34" s="20"/>
      <c r="Q34" s="20"/>
      <c r="R34" s="20"/>
      <c r="S34" s="20"/>
    </row>
    <row r="35" spans="1:19" ht="58" x14ac:dyDescent="0.35">
      <c r="A35" s="8">
        <v>29</v>
      </c>
      <c r="B35" s="27" t="s">
        <v>61</v>
      </c>
      <c r="C35" s="4" t="s">
        <v>62</v>
      </c>
      <c r="D35" s="58"/>
      <c r="E35" s="5" t="str">
        <f>EnterData_6[[#This Row],[Essential]]&amp;""</f>
        <v>Y</v>
      </c>
      <c r="F35" s="289"/>
      <c r="G35" s="53"/>
      <c r="H35" s="27" t="s">
        <v>93</v>
      </c>
      <c r="J35" s="38" t="str">
        <f>calc!H41&amp;""</f>
        <v/>
      </c>
      <c r="K35" s="37" t="str">
        <f>_xlfn.LET(_xlpm.x,INDEX(EnterData_8[Competencies],MATCH(J35,EnterData_8[Competency Num],0),1),IF(ISERROR(_xlpm.x),"",_xlpm.x))</f>
        <v/>
      </c>
      <c r="L35" s="294"/>
      <c r="M35" s="295"/>
      <c r="N35" s="296"/>
      <c r="O35" s="296"/>
      <c r="P35" s="20"/>
      <c r="Q35" s="20"/>
      <c r="R35" s="20"/>
      <c r="S35" s="20"/>
    </row>
    <row r="36" spans="1:19" ht="43.5" x14ac:dyDescent="0.35">
      <c r="A36" s="8">
        <v>30</v>
      </c>
      <c r="B36" s="27" t="s">
        <v>63</v>
      </c>
      <c r="C36" s="4" t="s">
        <v>64</v>
      </c>
      <c r="D36" s="58"/>
      <c r="E36" s="5" t="str">
        <f>EnterData_6[[#This Row],[Essential]]&amp;""</f>
        <v>Y</v>
      </c>
      <c r="F36" s="289"/>
      <c r="G36" s="53"/>
      <c r="H36" s="27" t="s">
        <v>93</v>
      </c>
      <c r="J36" s="38" t="str">
        <f>calc!H42&amp;""</f>
        <v/>
      </c>
      <c r="K36" s="37" t="str">
        <f>_xlfn.LET(_xlpm.x,INDEX(EnterData_8[Competencies],MATCH(J36,EnterData_8[Competency Num],0),1),IF(ISERROR(_xlpm.x),"",_xlpm.x))</f>
        <v/>
      </c>
      <c r="L36" s="294"/>
      <c r="M36" s="295"/>
      <c r="N36" s="296"/>
      <c r="O36" s="296"/>
      <c r="P36" s="20"/>
      <c r="Q36" s="20"/>
      <c r="R36" s="20"/>
      <c r="S36" s="20"/>
    </row>
    <row r="37" spans="1:19" ht="43.5" x14ac:dyDescent="0.35">
      <c r="A37" s="8">
        <v>31</v>
      </c>
      <c r="B37" s="27" t="s">
        <v>65</v>
      </c>
      <c r="C37" s="4" t="s">
        <v>66</v>
      </c>
      <c r="D37" s="58"/>
      <c r="E37" s="5" t="str">
        <f>EnterData_6[[#This Row],[Essential]]&amp;""</f>
        <v>Y</v>
      </c>
      <c r="F37" s="289"/>
      <c r="G37" s="53"/>
      <c r="H37" s="27" t="s">
        <v>93</v>
      </c>
      <c r="J37" s="38" t="str">
        <f>calc!H43&amp;""</f>
        <v/>
      </c>
      <c r="K37" s="37" t="str">
        <f>_xlfn.LET(_xlpm.x,INDEX(EnterData_8[Competencies],MATCH(J37,EnterData_8[Competency Num],0),1),IF(ISERROR(_xlpm.x),"",_xlpm.x))</f>
        <v/>
      </c>
      <c r="L37" s="294"/>
      <c r="M37" s="295"/>
      <c r="N37" s="296"/>
      <c r="O37" s="296"/>
      <c r="P37" s="20"/>
      <c r="Q37" s="20"/>
      <c r="R37" s="20"/>
      <c r="S37" s="20"/>
    </row>
    <row r="38" spans="1:19" ht="58" x14ac:dyDescent="0.35">
      <c r="A38" s="8">
        <v>32</v>
      </c>
      <c r="B38" s="27" t="s">
        <v>67</v>
      </c>
      <c r="C38" s="4" t="s">
        <v>68</v>
      </c>
      <c r="D38" s="58"/>
      <c r="E38" s="5" t="str">
        <f>EnterData_6[[#This Row],[Essential]]&amp;""</f>
        <v>Y</v>
      </c>
      <c r="F38" s="289"/>
      <c r="G38" s="53"/>
      <c r="H38" s="27" t="s">
        <v>93</v>
      </c>
      <c r="J38" s="38" t="str">
        <f>calc!H44&amp;""</f>
        <v/>
      </c>
      <c r="K38" s="37" t="str">
        <f>_xlfn.LET(_xlpm.x,INDEX(EnterData_8[Competencies],MATCH(J38,EnterData_8[Competency Num],0),1),IF(ISERROR(_xlpm.x),"",_xlpm.x))</f>
        <v/>
      </c>
      <c r="L38" s="294"/>
      <c r="M38" s="295"/>
      <c r="N38" s="296"/>
      <c r="O38" s="296"/>
      <c r="P38" s="20"/>
      <c r="Q38" s="20"/>
      <c r="R38" s="20"/>
      <c r="S38" s="20"/>
    </row>
    <row r="39" spans="1:19" ht="43.5" x14ac:dyDescent="0.35">
      <c r="A39" s="8">
        <v>33</v>
      </c>
      <c r="B39" s="27" t="s">
        <v>69</v>
      </c>
      <c r="C39" s="4" t="s">
        <v>70</v>
      </c>
      <c r="D39" s="58"/>
      <c r="E39" s="5" t="str">
        <f>EnterData_6[[#This Row],[Essential]]&amp;""</f>
        <v>Y</v>
      </c>
      <c r="F39" s="289"/>
      <c r="G39" s="53"/>
      <c r="H39" s="27" t="s">
        <v>93</v>
      </c>
      <c r="J39" s="38" t="str">
        <f>calc!H45&amp;""</f>
        <v/>
      </c>
      <c r="K39" s="37" t="str">
        <f>_xlfn.LET(_xlpm.x,INDEX(EnterData_8[Competencies],MATCH(J39,EnterData_8[Competency Num],0),1),IF(ISERROR(_xlpm.x),"",_xlpm.x))</f>
        <v/>
      </c>
      <c r="L39" s="294"/>
      <c r="M39" s="295"/>
      <c r="N39" s="296"/>
      <c r="O39" s="296"/>
      <c r="P39" s="20"/>
      <c r="Q39" s="20"/>
      <c r="R39" s="20"/>
      <c r="S39" s="20"/>
    </row>
    <row r="40" spans="1:19" ht="43.5" x14ac:dyDescent="0.35">
      <c r="A40" s="8">
        <v>34</v>
      </c>
      <c r="B40" s="27" t="s">
        <v>71</v>
      </c>
      <c r="C40" s="4" t="s">
        <v>72</v>
      </c>
      <c r="D40" s="58"/>
      <c r="E40" s="5" t="str">
        <f>EnterData_6[[#This Row],[Essential]]&amp;""</f>
        <v>Y</v>
      </c>
      <c r="F40" s="289"/>
      <c r="G40" s="53"/>
      <c r="H40" s="27" t="s">
        <v>93</v>
      </c>
      <c r="J40" s="38" t="str">
        <f>calc!H46&amp;""</f>
        <v/>
      </c>
      <c r="K40" s="37" t="str">
        <f>_xlfn.LET(_xlpm.x,INDEX(EnterData_8[Competencies],MATCH(J40,EnterData_8[Competency Num],0),1),IF(ISERROR(_xlpm.x),"",_xlpm.x))</f>
        <v/>
      </c>
      <c r="L40" s="294"/>
      <c r="M40" s="295"/>
      <c r="N40" s="296"/>
      <c r="O40" s="296"/>
      <c r="P40" s="20"/>
      <c r="Q40" s="20"/>
      <c r="R40" s="20"/>
      <c r="S40" s="20"/>
    </row>
    <row r="41" spans="1:19" ht="29" x14ac:dyDescent="0.35">
      <c r="A41" s="8">
        <v>35</v>
      </c>
      <c r="B41" s="27" t="s">
        <v>73</v>
      </c>
      <c r="C41" s="4" t="s">
        <v>74</v>
      </c>
      <c r="D41" s="58"/>
      <c r="E41" s="5" t="str">
        <f>EnterData_6[[#This Row],[Essential]]&amp;""</f>
        <v>Y</v>
      </c>
      <c r="F41" s="289"/>
      <c r="G41" s="53"/>
      <c r="H41" s="27" t="s">
        <v>93</v>
      </c>
      <c r="J41" s="38" t="str">
        <f>calc!H47&amp;""</f>
        <v/>
      </c>
      <c r="K41" s="37" t="str">
        <f>_xlfn.LET(_xlpm.x,INDEX(EnterData_8[Competencies],MATCH(J41,EnterData_8[Competency Num],0),1),IF(ISERROR(_xlpm.x),"",_xlpm.x))</f>
        <v/>
      </c>
      <c r="L41" s="294"/>
      <c r="M41" s="295"/>
      <c r="N41" s="296"/>
      <c r="O41" s="296"/>
      <c r="P41" s="20"/>
      <c r="Q41" s="20"/>
      <c r="R41" s="20"/>
      <c r="S41" s="20"/>
    </row>
    <row r="42" spans="1:19" ht="43.5" x14ac:dyDescent="0.35">
      <c r="A42" s="9">
        <v>36</v>
      </c>
      <c r="B42" s="29" t="s">
        <v>75</v>
      </c>
      <c r="C42" s="42" t="s">
        <v>76</v>
      </c>
      <c r="D42" s="59"/>
      <c r="E42" s="30" t="str">
        <f>EnterData_6[[#This Row],[Essential]]&amp;""</f>
        <v>N</v>
      </c>
      <c r="F42" s="290"/>
      <c r="G42" s="54"/>
      <c r="H42" s="29" t="s">
        <v>93</v>
      </c>
      <c r="J42" s="38" t="str">
        <f>calc!H48&amp;""</f>
        <v/>
      </c>
      <c r="K42" s="37" t="str">
        <f>_xlfn.LET(_xlpm.x,INDEX(EnterData_8[Competencies],MATCH(J42,EnterData_8[Competency Num],0),1),IF(ISERROR(_xlpm.x),"",_xlpm.x))</f>
        <v/>
      </c>
      <c r="L42" s="294"/>
      <c r="M42" s="295"/>
      <c r="N42" s="296"/>
      <c r="O42" s="296"/>
      <c r="P42" s="20"/>
      <c r="Q42" s="20"/>
      <c r="R42" s="20"/>
      <c r="S42" s="20"/>
    </row>
    <row r="43" spans="1:19" x14ac:dyDescent="0.35">
      <c r="A43" s="20"/>
      <c r="B43" s="55"/>
      <c r="C43" s="51"/>
      <c r="D43" s="10"/>
      <c r="E43" s="10"/>
      <c r="F43" s="20"/>
      <c r="G43" s="20"/>
      <c r="H43" s="20"/>
      <c r="I43" s="20"/>
      <c r="J43" s="20"/>
      <c r="K43" s="20"/>
      <c r="L43" s="20"/>
      <c r="M43" s="20"/>
      <c r="N43" s="20"/>
      <c r="O43" s="20"/>
      <c r="P43" s="20"/>
      <c r="Q43" s="20"/>
      <c r="R43" s="20"/>
      <c r="S43" s="20"/>
    </row>
    <row r="44" spans="1:19" x14ac:dyDescent="0.35">
      <c r="A44" s="20"/>
      <c r="B44" s="56" t="s">
        <v>77</v>
      </c>
      <c r="C44" s="74" t="s">
        <v>78</v>
      </c>
      <c r="D44" s="11" t="s">
        <v>79</v>
      </c>
      <c r="E44" s="65" t="s">
        <v>80</v>
      </c>
      <c r="F44" s="65"/>
      <c r="G44" s="20"/>
      <c r="H44" s="20"/>
      <c r="I44" s="20"/>
      <c r="J44" s="20"/>
      <c r="K44" s="20"/>
      <c r="L44" s="20"/>
      <c r="M44" s="20"/>
      <c r="N44" s="20"/>
      <c r="O44" s="20"/>
      <c r="P44" s="20"/>
      <c r="Q44" s="20"/>
      <c r="R44" s="20"/>
      <c r="S44" s="20"/>
    </row>
    <row r="45" spans="1:19" x14ac:dyDescent="0.35">
      <c r="A45" s="20"/>
      <c r="B45" s="23" t="s">
        <v>89</v>
      </c>
      <c r="C45" s="75" t="s">
        <v>191</v>
      </c>
      <c r="D45" s="12" cm="1">
        <f t="array" ref="D45:D47">_xlfn.ANCHORARRAY(D50)+_xlfn.ANCHORARRAY(D55)+_xlfn.ANCHORARRAY(D60)</f>
        <v>0</v>
      </c>
      <c r="E45" s="66" cm="1">
        <f t="array" ref="E45:E47">_xlfn.ANCHORARRAY(E50)+_xlfn.ANCHORARRAY(E55)+_xlfn.ANCHORARRAY(E60)</f>
        <v>0</v>
      </c>
      <c r="F45" s="66"/>
      <c r="G45" s="20"/>
      <c r="H45" s="20"/>
      <c r="I45" s="20"/>
      <c r="J45" s="20"/>
      <c r="K45" s="20"/>
      <c r="L45" s="20"/>
      <c r="M45" s="20"/>
      <c r="N45" s="20"/>
      <c r="O45" s="20"/>
      <c r="P45" s="20"/>
      <c r="Q45" s="20"/>
      <c r="R45" s="20"/>
      <c r="S45" s="20"/>
    </row>
    <row r="46" spans="1:19" x14ac:dyDescent="0.35">
      <c r="A46" s="20"/>
      <c r="B46" s="23" t="s">
        <v>88</v>
      </c>
      <c r="C46" s="76" t="s">
        <v>193</v>
      </c>
      <c r="D46" s="13">
        <v>0</v>
      </c>
      <c r="E46" s="67">
        <v>0</v>
      </c>
      <c r="F46" s="67"/>
      <c r="G46" s="20"/>
      <c r="H46" s="20"/>
      <c r="I46" s="20"/>
      <c r="J46" s="20"/>
      <c r="K46" s="20"/>
      <c r="L46" s="20"/>
      <c r="M46" s="20"/>
      <c r="N46" s="20"/>
      <c r="O46" s="20"/>
      <c r="P46" s="20"/>
      <c r="Q46" s="20"/>
      <c r="R46" s="20"/>
      <c r="S46" s="20"/>
    </row>
    <row r="47" spans="1:19" x14ac:dyDescent="0.35">
      <c r="A47" s="20"/>
      <c r="B47" s="23" t="s">
        <v>87</v>
      </c>
      <c r="C47" s="77" t="s">
        <v>195</v>
      </c>
      <c r="D47" s="14">
        <v>0</v>
      </c>
      <c r="E47" s="68">
        <v>0</v>
      </c>
      <c r="F47" s="68"/>
      <c r="G47" s="20"/>
      <c r="H47" s="20"/>
      <c r="I47" s="20"/>
      <c r="J47" s="20"/>
      <c r="K47" s="20"/>
      <c r="L47" s="20"/>
      <c r="M47" s="20"/>
      <c r="N47" s="20"/>
      <c r="O47" s="20"/>
      <c r="P47" s="20"/>
      <c r="Q47" s="20"/>
      <c r="R47" s="20"/>
      <c r="S47" s="20"/>
    </row>
    <row r="48" spans="1:19" x14ac:dyDescent="0.35">
      <c r="A48" s="20"/>
      <c r="B48" s="15"/>
      <c r="C48" s="78"/>
      <c r="D48" s="15"/>
      <c r="E48" s="69"/>
      <c r="F48" s="69"/>
      <c r="G48" s="20"/>
      <c r="H48" s="20"/>
      <c r="I48" s="20"/>
      <c r="J48" s="20"/>
      <c r="K48" s="20"/>
      <c r="L48" s="20"/>
      <c r="M48" s="20"/>
      <c r="N48" s="20"/>
      <c r="O48" s="20"/>
      <c r="P48" s="20"/>
      <c r="Q48" s="20"/>
      <c r="R48" s="20"/>
      <c r="S48" s="20"/>
    </row>
    <row r="49" spans="1:19" x14ac:dyDescent="0.35">
      <c r="A49" s="20"/>
      <c r="B49" s="15"/>
      <c r="C49" s="79" t="s">
        <v>81</v>
      </c>
      <c r="D49" s="16" t="s">
        <v>79</v>
      </c>
      <c r="E49" s="70" t="s">
        <v>80</v>
      </c>
      <c r="F49" s="70"/>
      <c r="G49" s="20"/>
      <c r="H49" s="20"/>
      <c r="I49" s="20"/>
      <c r="J49" s="20"/>
      <c r="K49" s="20"/>
      <c r="L49" s="20"/>
      <c r="M49" s="20"/>
      <c r="N49" s="20"/>
      <c r="O49" s="20"/>
      <c r="P49" s="20"/>
      <c r="Q49" s="20"/>
      <c r="R49" s="20"/>
      <c r="S49" s="20"/>
    </row>
    <row r="50" spans="1:19" x14ac:dyDescent="0.35">
      <c r="A50" s="20"/>
      <c r="B50" s="15"/>
      <c r="C50" s="75" t="s">
        <v>191</v>
      </c>
      <c r="D50" s="12" cm="1">
        <f t="array" ref="D50:D52">COUNTIFS(D$7:D$42,$B$45:$B$47,EnterData_7[Component],"FD")</f>
        <v>0</v>
      </c>
      <c r="E50" s="66" cm="1">
        <f t="array" ref="E50:E52">COUNTIFS(D$7:D$42,$B$45:$B$47,EnterData_7[Component],"FD",E$7:E$42,"Y")</f>
        <v>0</v>
      </c>
      <c r="F50" s="66"/>
      <c r="G50" s="20"/>
      <c r="H50" s="20"/>
      <c r="I50" s="20"/>
      <c r="J50" s="20"/>
      <c r="K50" s="20"/>
      <c r="L50" s="20"/>
      <c r="M50" s="20"/>
      <c r="N50" s="20"/>
      <c r="O50" s="20"/>
      <c r="P50" s="20"/>
      <c r="Q50" s="20"/>
      <c r="R50" s="20"/>
      <c r="S50" s="20"/>
    </row>
    <row r="51" spans="1:19" x14ac:dyDescent="0.35">
      <c r="A51" s="20"/>
      <c r="B51" s="15"/>
      <c r="C51" s="76" t="s">
        <v>193</v>
      </c>
      <c r="D51" s="13">
        <v>0</v>
      </c>
      <c r="E51" s="67">
        <v>0</v>
      </c>
      <c r="F51" s="67"/>
      <c r="G51" s="20"/>
      <c r="H51" s="20"/>
      <c r="I51" s="20"/>
      <c r="J51" s="20"/>
      <c r="K51" s="20"/>
      <c r="L51" s="20"/>
      <c r="M51" s="20"/>
      <c r="N51" s="20"/>
      <c r="O51" s="20"/>
      <c r="P51" s="20"/>
      <c r="Q51" s="20"/>
      <c r="R51" s="20"/>
      <c r="S51" s="20"/>
    </row>
    <row r="52" spans="1:19" x14ac:dyDescent="0.35">
      <c r="A52" s="20"/>
      <c r="B52" s="15"/>
      <c r="C52" s="77" t="s">
        <v>195</v>
      </c>
      <c r="D52" s="14">
        <v>0</v>
      </c>
      <c r="E52" s="68">
        <v>0</v>
      </c>
      <c r="F52" s="68"/>
      <c r="G52" s="20"/>
      <c r="H52" s="20"/>
      <c r="I52" s="20"/>
      <c r="J52" s="20"/>
      <c r="K52" s="20"/>
      <c r="L52" s="20"/>
      <c r="M52" s="20"/>
      <c r="N52" s="20"/>
      <c r="O52" s="20"/>
      <c r="P52" s="20"/>
      <c r="Q52" s="20"/>
      <c r="R52" s="20"/>
      <c r="S52" s="20"/>
    </row>
    <row r="53" spans="1:19" x14ac:dyDescent="0.35">
      <c r="A53" s="20"/>
      <c r="B53" s="15"/>
      <c r="C53" s="78"/>
      <c r="D53" s="15"/>
      <c r="E53" s="69"/>
      <c r="F53" s="69"/>
      <c r="G53" s="20"/>
      <c r="H53" s="20"/>
      <c r="I53" s="20"/>
      <c r="J53" s="20"/>
      <c r="K53" s="20"/>
      <c r="L53" s="20"/>
      <c r="M53" s="20"/>
      <c r="N53" s="20"/>
      <c r="O53" s="20"/>
      <c r="P53" s="20"/>
      <c r="Q53" s="20"/>
      <c r="R53" s="20"/>
      <c r="S53" s="20"/>
    </row>
    <row r="54" spans="1:19" x14ac:dyDescent="0.35">
      <c r="A54" s="20"/>
      <c r="B54" s="15"/>
      <c r="C54" s="80" t="s">
        <v>82</v>
      </c>
      <c r="D54" s="17" t="s">
        <v>79</v>
      </c>
      <c r="E54" s="71" t="s">
        <v>80</v>
      </c>
      <c r="F54" s="71"/>
      <c r="G54" s="20"/>
      <c r="H54" s="20"/>
      <c r="I54" s="20"/>
      <c r="J54" s="20"/>
      <c r="K54" s="20"/>
      <c r="L54" s="20"/>
      <c r="M54" s="20"/>
      <c r="N54" s="20"/>
      <c r="O54" s="20"/>
      <c r="P54" s="20"/>
      <c r="Q54" s="20"/>
      <c r="R54" s="20"/>
      <c r="S54" s="20"/>
    </row>
    <row r="55" spans="1:19" x14ac:dyDescent="0.35">
      <c r="A55" s="20"/>
      <c r="B55" s="15"/>
      <c r="C55" s="75" t="s">
        <v>191</v>
      </c>
      <c r="D55" s="12" cm="1">
        <f t="array" ref="D55:D57">COUNTIFS(D$7:D$42,$B$45:$B$47,EnterData_7[Component],"IN")</f>
        <v>0</v>
      </c>
      <c r="E55" s="66" cm="1">
        <f t="array" ref="E55:E57">COUNTIFS(D$7:D$42,$B$45:$B$47,EnterData_7[Component],"IN",E$7:E$42,"Y")</f>
        <v>0</v>
      </c>
      <c r="F55" s="66"/>
      <c r="G55" s="20"/>
      <c r="H55" s="20"/>
      <c r="I55" s="20"/>
      <c r="J55" s="20"/>
      <c r="K55" s="20"/>
      <c r="L55" s="20"/>
      <c r="M55" s="20"/>
      <c r="N55" s="20"/>
      <c r="O55" s="20"/>
      <c r="P55" s="20"/>
      <c r="Q55" s="20"/>
      <c r="R55" s="20"/>
      <c r="S55" s="20"/>
    </row>
    <row r="56" spans="1:19" x14ac:dyDescent="0.35">
      <c r="A56" s="20"/>
      <c r="B56" s="15"/>
      <c r="C56" s="76" t="s">
        <v>193</v>
      </c>
      <c r="D56" s="13">
        <v>0</v>
      </c>
      <c r="E56" s="67">
        <v>0</v>
      </c>
      <c r="F56" s="67"/>
      <c r="G56" s="20"/>
      <c r="H56" s="20"/>
      <c r="I56" s="20"/>
      <c r="J56" s="20"/>
      <c r="K56" s="20"/>
      <c r="L56" s="20"/>
      <c r="M56" s="20"/>
      <c r="N56" s="20"/>
      <c r="O56" s="20"/>
      <c r="P56" s="20"/>
      <c r="Q56" s="20"/>
      <c r="R56" s="20"/>
      <c r="S56" s="20"/>
    </row>
    <row r="57" spans="1:19" x14ac:dyDescent="0.35">
      <c r="A57" s="20"/>
      <c r="B57" s="15"/>
      <c r="C57" s="77" t="s">
        <v>195</v>
      </c>
      <c r="D57" s="14">
        <v>0</v>
      </c>
      <c r="E57" s="68">
        <v>0</v>
      </c>
      <c r="F57" s="68"/>
      <c r="G57" s="20"/>
      <c r="H57" s="20"/>
      <c r="I57" s="20"/>
      <c r="J57" s="20"/>
      <c r="K57" s="20"/>
      <c r="L57" s="20"/>
      <c r="M57" s="20"/>
      <c r="N57" s="20"/>
      <c r="O57" s="20"/>
      <c r="P57" s="20"/>
      <c r="Q57" s="20"/>
      <c r="R57" s="20"/>
      <c r="S57" s="20"/>
    </row>
    <row r="58" spans="1:19" x14ac:dyDescent="0.35">
      <c r="A58" s="20"/>
      <c r="B58" s="15"/>
      <c r="C58" s="78"/>
      <c r="D58" s="15"/>
      <c r="E58" s="69"/>
      <c r="F58" s="69"/>
      <c r="G58" s="20"/>
      <c r="H58" s="20"/>
      <c r="I58" s="20"/>
      <c r="J58" s="20"/>
      <c r="K58" s="20"/>
      <c r="L58" s="20"/>
      <c r="M58" s="20"/>
      <c r="N58" s="20"/>
      <c r="O58" s="20"/>
      <c r="P58" s="20"/>
      <c r="Q58" s="20"/>
      <c r="R58" s="20"/>
      <c r="S58" s="20"/>
    </row>
    <row r="59" spans="1:19" x14ac:dyDescent="0.35">
      <c r="A59" s="20"/>
      <c r="B59" s="15"/>
      <c r="C59" s="81" t="s">
        <v>83</v>
      </c>
      <c r="D59" s="18" t="s">
        <v>79</v>
      </c>
      <c r="E59" s="72" t="s">
        <v>80</v>
      </c>
      <c r="F59" s="72"/>
      <c r="G59" s="20"/>
      <c r="H59" s="20"/>
      <c r="I59" s="20"/>
      <c r="J59" s="20"/>
      <c r="K59" s="20"/>
      <c r="L59" s="20"/>
      <c r="M59" s="20"/>
      <c r="N59" s="20"/>
      <c r="O59" s="20"/>
      <c r="P59" s="20"/>
      <c r="Q59" s="20"/>
      <c r="R59" s="20"/>
      <c r="S59" s="20"/>
    </row>
    <row r="60" spans="1:19" x14ac:dyDescent="0.35">
      <c r="A60" s="20"/>
      <c r="B60" s="15"/>
      <c r="C60" s="75" t="s">
        <v>191</v>
      </c>
      <c r="D60" s="19" cm="1">
        <f t="array" ref="D60:D62">COUNTIFS(D$7:D$42,$B$45:$B$47,EnterData_7[Component],"DC")</f>
        <v>0</v>
      </c>
      <c r="E60" s="73" cm="1">
        <f t="array" ref="E60:E62">COUNTIFS(D$7:D$42,$B$45:$B$47,EnterData_7[Component],"DC",E$7:E$42,"Y")</f>
        <v>0</v>
      </c>
      <c r="F60" s="73"/>
      <c r="G60" s="20"/>
      <c r="H60" s="20"/>
      <c r="I60" s="20"/>
      <c r="J60" s="20"/>
      <c r="K60" s="20"/>
      <c r="L60" s="20"/>
      <c r="M60" s="20"/>
      <c r="N60" s="20"/>
      <c r="O60" s="20"/>
      <c r="P60" s="20"/>
      <c r="Q60" s="20"/>
      <c r="R60" s="20"/>
      <c r="S60" s="20"/>
    </row>
    <row r="61" spans="1:19" x14ac:dyDescent="0.35">
      <c r="A61" s="20"/>
      <c r="B61" s="15"/>
      <c r="C61" s="76" t="s">
        <v>193</v>
      </c>
      <c r="D61" s="13">
        <v>0</v>
      </c>
      <c r="E61" s="67">
        <v>0</v>
      </c>
      <c r="F61" s="67"/>
      <c r="G61" s="20"/>
      <c r="H61" s="20"/>
      <c r="I61" s="20"/>
      <c r="J61" s="20"/>
      <c r="K61" s="20"/>
      <c r="L61" s="20"/>
      <c r="M61" s="20"/>
      <c r="N61" s="20"/>
      <c r="O61" s="20"/>
      <c r="P61" s="20"/>
      <c r="Q61" s="20"/>
      <c r="R61" s="20"/>
      <c r="S61" s="20"/>
    </row>
    <row r="62" spans="1:19" x14ac:dyDescent="0.35">
      <c r="A62" s="20"/>
      <c r="B62" s="15"/>
      <c r="C62" s="77" t="s">
        <v>195</v>
      </c>
      <c r="D62" s="14">
        <v>0</v>
      </c>
      <c r="E62" s="68">
        <v>0</v>
      </c>
      <c r="F62" s="68"/>
      <c r="G62" s="20"/>
      <c r="H62" s="20"/>
      <c r="I62" s="20"/>
      <c r="J62" s="20"/>
      <c r="K62" s="20"/>
      <c r="L62" s="20"/>
      <c r="M62" s="20"/>
      <c r="N62" s="20"/>
      <c r="O62" s="20"/>
      <c r="P62" s="20"/>
      <c r="Q62" s="20"/>
      <c r="R62" s="20"/>
      <c r="S62" s="20"/>
    </row>
    <row r="63" spans="1:19" x14ac:dyDescent="0.35">
      <c r="A63" s="283" t="s">
        <v>150</v>
      </c>
      <c r="B63" s="20"/>
      <c r="C63" s="20"/>
      <c r="D63" s="20"/>
      <c r="E63" s="20"/>
      <c r="F63" s="20"/>
      <c r="G63" s="20"/>
      <c r="H63" s="20"/>
      <c r="I63" s="20"/>
      <c r="J63" s="20"/>
      <c r="K63" s="20"/>
      <c r="L63" s="20"/>
      <c r="M63" s="20"/>
      <c r="N63" s="20"/>
      <c r="O63" s="20"/>
      <c r="P63" s="20"/>
      <c r="Q63" s="20"/>
      <c r="R63" s="20"/>
      <c r="S63" s="20"/>
    </row>
    <row r="64" spans="1:19" x14ac:dyDescent="0.35">
      <c r="A64" s="20"/>
      <c r="B64" s="20"/>
      <c r="C64" s="20"/>
      <c r="D64" s="20"/>
      <c r="E64" s="20"/>
      <c r="F64" s="20"/>
      <c r="G64" s="20"/>
      <c r="H64" s="20"/>
      <c r="I64" s="20"/>
      <c r="J64" s="20"/>
      <c r="K64" s="20"/>
    </row>
    <row r="65" spans="1:11" x14ac:dyDescent="0.35">
      <c r="A65" s="20"/>
      <c r="B65" s="20"/>
      <c r="C65" s="20"/>
      <c r="D65" s="20"/>
      <c r="E65" s="20"/>
      <c r="F65" s="20"/>
      <c r="G65" s="20"/>
      <c r="H65" s="20"/>
      <c r="I65" s="20"/>
      <c r="J65" s="20"/>
      <c r="K65" s="20"/>
    </row>
    <row r="66" spans="1:11" x14ac:dyDescent="0.35">
      <c r="A66" s="20"/>
      <c r="B66" s="20"/>
      <c r="C66" s="20"/>
      <c r="D66" s="20"/>
      <c r="E66" s="20"/>
      <c r="F66" s="20"/>
      <c r="G66" s="20"/>
      <c r="H66" s="20"/>
      <c r="I66" s="20"/>
      <c r="J66" s="20"/>
      <c r="K66" s="20"/>
    </row>
  </sheetData>
  <sheetProtection sheet="1" formatCells="0" formatColumns="0" formatRows="0"/>
  <conditionalFormatting sqref="F7:F42">
    <cfRule type="expression" dxfId="61" priority="2">
      <formula>OR(D7="Min comp",D7="Comp")</formula>
    </cfRule>
  </conditionalFormatting>
  <conditionalFormatting sqref="J7:J42">
    <cfRule type="expression" dxfId="60" priority="4">
      <formula>$J7&lt;&gt;""</formula>
    </cfRule>
    <cfRule type="expression" dxfId="59" priority="8">
      <formula>LEFT($J7)="F"</formula>
    </cfRule>
    <cfRule type="expression" dxfId="58" priority="9">
      <formula>LEFT($J7)="I"</formula>
    </cfRule>
    <cfRule type="expression" dxfId="57" priority="11">
      <formula>LEFT($J7)="D"</formula>
    </cfRule>
  </conditionalFormatting>
  <conditionalFormatting sqref="J7:O42">
    <cfRule type="expression" dxfId="56" priority="5">
      <formula>AND($J7&lt;&gt;"",$J8="")</formula>
    </cfRule>
    <cfRule type="expression" dxfId="55" priority="6">
      <formula>$J7&lt;&gt;""</formula>
    </cfRule>
  </conditionalFormatting>
  <conditionalFormatting sqref="L7:O42">
    <cfRule type="expression" dxfId="54" priority="7">
      <formula>$J7&lt;&gt;""</formula>
    </cfRule>
  </conditionalFormatting>
  <conditionalFormatting sqref="O7:O42">
    <cfRule type="expression" dxfId="53" priority="3">
      <formula>$J7&lt;&gt;""</formula>
    </cfRule>
  </conditionalFormatting>
  <dataValidations count="4">
    <dataValidation type="list" allowBlank="1" showInputMessage="1" showErrorMessage="1" sqref="D7:D42" xr:uid="{0C964692-F71A-4545-82CB-C27C864336D5}">
      <formula1>"Min comp, Comp, Hi comp"</formula1>
    </dataValidation>
    <dataValidation type="list" allowBlank="1" showInputMessage="1" showErrorMessage="1" sqref="L7:L42" xr:uid="{92FF73B4-6F93-4BFF-881D-617ED2F4A6D6}">
      <formula1>"yes,no"</formula1>
    </dataValidation>
    <dataValidation type="list" allowBlank="1" showInputMessage="1" showErrorMessage="1" sqref="F7:F42" xr:uid="{6CCCCBBD-4BDC-456B-AFF1-2D703D3BAC41}">
      <formula1>"Y,N"</formula1>
    </dataValidation>
    <dataValidation type="list" allowBlank="1" showInputMessage="1" showErrorMessage="1" sqref="E7:E42" xr:uid="{DAD34C96-1371-47E0-9B20-92682D2B9625}">
      <formula1>"Y,N,?"</formula1>
    </dataValidation>
  </dataValidations>
  <pageMargins left="0.7" right="0.7" top="0.75" bottom="0.75" header="0.3" footer="0.3"/>
  <pageSetup scale="61" fitToHeight="0" orientation="landscape" horizontalDpi="4294967293" verticalDpi="0" r:id="rId1"/>
  <headerFooter>
    <oddHeader>&amp;LLearning Plan 7&amp;RPrinted on: &amp;D</oddHeader>
    <oddFooter>&amp;CPage &amp;P of &amp;N</oddFooter>
  </headerFooter>
  <legacyDrawing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E1701243-399C-4EBB-9EC2-34D6F9F61366}">
            <xm:f>OR('SA1'!$G$3="",$G$4="")</xm:f>
            <x14:dxf>
              <font>
                <color theme="0"/>
              </font>
              <fill>
                <patternFill>
                  <bgColor theme="0"/>
                </patternFill>
              </fill>
              <border>
                <left style="thin">
                  <color theme="0"/>
                </left>
                <right style="thin">
                  <color theme="0"/>
                </right>
                <top style="thin">
                  <color theme="0"/>
                </top>
                <bottom style="thin">
                  <color theme="0"/>
                </bottom>
                <vertical/>
                <horizontal/>
              </border>
            </x14:dxf>
          </x14:cfRule>
          <xm:sqref>A5:O42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71BA9-B30F-4D1F-973B-440B57757BA7}">
  <sheetPr>
    <tabColor rgb="FFFFFFCC"/>
    <pageSetUpPr fitToPage="1"/>
  </sheetPr>
  <dimension ref="A1:S66"/>
  <sheetViews>
    <sheetView showGridLines="0" zoomScaleNormal="100" workbookViewId="0">
      <pane ySplit="6" topLeftCell="A7" activePane="bottomLeft" state="frozen"/>
      <selection activeCell="G4" sqref="G4"/>
      <selection pane="bottomLeft"/>
    </sheetView>
  </sheetViews>
  <sheetFormatPr defaultRowHeight="14.5" x14ac:dyDescent="0.35"/>
  <cols>
    <col min="1" max="1" width="7.26953125" customWidth="1"/>
    <col min="2" max="2" width="12.54296875" style="22" customWidth="1"/>
    <col min="3" max="3" width="54.08984375" style="22" customWidth="1"/>
    <col min="4" max="4" width="10.1796875" customWidth="1"/>
    <col min="5" max="5" width="8.453125" customWidth="1"/>
    <col min="6" max="6" width="7.90625" customWidth="1"/>
    <col min="7" max="7" width="36.36328125" customWidth="1"/>
    <col min="8" max="8" width="0" hidden="1" customWidth="1"/>
    <col min="9" max="9" width="2.26953125" customWidth="1"/>
    <col min="10" max="10" width="7.26953125" customWidth="1"/>
    <col min="11" max="11" width="85.1796875" style="22" customWidth="1"/>
    <col min="12" max="12" width="14.453125" customWidth="1"/>
    <col min="13" max="13" width="44.453125" customWidth="1"/>
    <col min="14" max="14" width="16" style="293" customWidth="1"/>
    <col min="15" max="15" width="30.54296875" customWidth="1"/>
    <col min="16" max="16" width="1.453125" customWidth="1"/>
  </cols>
  <sheetData>
    <row r="1" spans="1:19" s="270" customFormat="1" ht="10.5" x14ac:dyDescent="0.25">
      <c r="A1" s="271" t="s">
        <v>113</v>
      </c>
      <c r="B1" s="272"/>
      <c r="C1" s="272"/>
      <c r="K1" s="272"/>
      <c r="N1" s="292"/>
    </row>
    <row r="2" spans="1:19" x14ac:dyDescent="0.35">
      <c r="A2" s="245" t="str">
        <f>IF('SA1'!$G$3="","You must enter a name (or role) in worksheet SA1, cell G3 to activate the workbook.",IF($G$4="","You must enter a Date of Self Assessment in G4 to activate this worksheet.",""))</f>
        <v>You must enter a Date of Self Assessment in G4 to activate this worksheet.</v>
      </c>
    </row>
    <row r="3" spans="1:19" x14ac:dyDescent="0.35">
      <c r="G3" s="314"/>
    </row>
    <row r="4" spans="1:19" ht="20.5" thickBot="1" x14ac:dyDescent="0.4">
      <c r="A4" s="31" t="s">
        <v>119</v>
      </c>
      <c r="B4" s="32"/>
      <c r="C4" s="32"/>
      <c r="F4" s="33" t="s">
        <v>105</v>
      </c>
      <c r="G4" s="285"/>
      <c r="J4" s="31" t="s">
        <v>96</v>
      </c>
      <c r="K4" s="32"/>
      <c r="M4" s="33" t="s">
        <v>97</v>
      </c>
      <c r="N4" s="297"/>
      <c r="O4" s="33"/>
      <c r="P4" s="35"/>
    </row>
    <row r="5" spans="1:19" x14ac:dyDescent="0.35">
      <c r="J5" s="36" t="str">
        <f>calc!I10</f>
        <v>Please complete 36 Rating(s) in column D before using the Learning Plan.</v>
      </c>
      <c r="K5" s="37"/>
      <c r="L5" s="38"/>
      <c r="M5" s="38"/>
      <c r="N5" s="43"/>
      <c r="O5" s="39"/>
      <c r="P5" s="38"/>
    </row>
    <row r="6" spans="1:19" ht="43.5" x14ac:dyDescent="0.35">
      <c r="A6" s="45" t="s">
        <v>94</v>
      </c>
      <c r="B6" s="46" t="s">
        <v>0</v>
      </c>
      <c r="C6" s="47" t="s">
        <v>1</v>
      </c>
      <c r="D6" s="48" t="s">
        <v>84</v>
      </c>
      <c r="E6" s="45" t="s">
        <v>85</v>
      </c>
      <c r="F6" s="45" t="s">
        <v>86</v>
      </c>
      <c r="G6" s="49" t="s">
        <v>95</v>
      </c>
      <c r="H6" s="50" t="s">
        <v>90</v>
      </c>
      <c r="J6" s="60" t="s">
        <v>98</v>
      </c>
      <c r="K6" s="61" t="s">
        <v>1</v>
      </c>
      <c r="L6" s="62" t="s">
        <v>99</v>
      </c>
      <c r="M6" s="62" t="s">
        <v>100</v>
      </c>
      <c r="N6" s="291" t="s">
        <v>101</v>
      </c>
      <c r="O6" s="63" t="s">
        <v>95</v>
      </c>
      <c r="P6" s="38"/>
    </row>
    <row r="7" spans="1:19" ht="18.5" x14ac:dyDescent="0.35">
      <c r="A7" s="1">
        <v>1</v>
      </c>
      <c r="B7" s="24" t="s">
        <v>2</v>
      </c>
      <c r="C7" s="21" t="s">
        <v>3</v>
      </c>
      <c r="D7" s="57"/>
      <c r="E7" s="5" t="str">
        <f>EnterData_7[[#This Row],[Essential]]&amp;""</f>
        <v>Y</v>
      </c>
      <c r="F7" s="288"/>
      <c r="G7" s="52"/>
      <c r="H7" s="24" t="s">
        <v>91</v>
      </c>
      <c r="J7" s="38" t="str">
        <f>calc!I13&amp;""</f>
        <v/>
      </c>
      <c r="K7" s="37" t="str">
        <f>_xlfn.LET(_xlpm.x,INDEX(EnterData_8[Competencies],MATCH(J7,EnterData_8[Competency Num],0),1),IF(ISERROR(_xlpm.x),"",_xlpm.x))</f>
        <v/>
      </c>
      <c r="L7" s="294"/>
      <c r="M7" s="295"/>
      <c r="N7" s="296"/>
      <c r="O7" s="296"/>
      <c r="P7" s="20"/>
      <c r="Q7" s="20"/>
      <c r="R7" s="20"/>
      <c r="S7" s="20"/>
    </row>
    <row r="8" spans="1:19" ht="29" x14ac:dyDescent="0.35">
      <c r="A8" s="3">
        <v>2</v>
      </c>
      <c r="B8" s="25" t="s">
        <v>5</v>
      </c>
      <c r="C8" s="4" t="s">
        <v>6</v>
      </c>
      <c r="D8" s="58"/>
      <c r="E8" s="5" t="str">
        <f>EnterData_7[[#This Row],[Essential]]&amp;""</f>
        <v>Y</v>
      </c>
      <c r="F8" s="289"/>
      <c r="G8" s="53"/>
      <c r="H8" s="25" t="s">
        <v>91</v>
      </c>
      <c r="J8" s="38" t="str">
        <f>calc!I14&amp;""</f>
        <v/>
      </c>
      <c r="K8" s="37" t="str">
        <f>_xlfn.LET(_xlpm.x,INDEX(EnterData_8[Competencies],MATCH(J8,EnterData_8[Competency Num],0),1),IF(ISERROR(_xlpm.x),"",_xlpm.x))</f>
        <v/>
      </c>
      <c r="L8" s="294"/>
      <c r="M8" s="295"/>
      <c r="N8" s="296"/>
      <c r="O8" s="296"/>
      <c r="P8" s="20"/>
      <c r="Q8" s="20"/>
      <c r="R8" s="20"/>
      <c r="S8" s="20"/>
    </row>
    <row r="9" spans="1:19" ht="72.5" x14ac:dyDescent="0.35">
      <c r="A9" s="3">
        <v>3</v>
      </c>
      <c r="B9" s="25" t="s">
        <v>8</v>
      </c>
      <c r="C9" s="4" t="s">
        <v>9</v>
      </c>
      <c r="D9" s="58"/>
      <c r="E9" s="5" t="str">
        <f>EnterData_7[[#This Row],[Essential]]&amp;""</f>
        <v>Y</v>
      </c>
      <c r="F9" s="289"/>
      <c r="G9" s="53"/>
      <c r="H9" s="25" t="s">
        <v>91</v>
      </c>
      <c r="J9" s="38" t="str">
        <f>calc!I15&amp;""</f>
        <v/>
      </c>
      <c r="K9" s="37" t="str">
        <f>_xlfn.LET(_xlpm.x,INDEX(EnterData_8[Competencies],MATCH(J9,EnterData_8[Competency Num],0),1),IF(ISERROR(_xlpm.x),"",_xlpm.x))</f>
        <v/>
      </c>
      <c r="L9" s="294"/>
      <c r="M9" s="295"/>
      <c r="N9" s="296"/>
      <c r="O9" s="296"/>
      <c r="P9" s="20"/>
      <c r="Q9" s="20"/>
      <c r="R9" s="20"/>
      <c r="S9" s="20"/>
    </row>
    <row r="10" spans="1:19" ht="43.5" x14ac:dyDescent="0.35">
      <c r="A10" s="3">
        <v>4</v>
      </c>
      <c r="B10" s="25" t="s">
        <v>10</v>
      </c>
      <c r="C10" s="4" t="s">
        <v>11</v>
      </c>
      <c r="D10" s="58"/>
      <c r="E10" s="5" t="str">
        <f>EnterData_7[[#This Row],[Essential]]&amp;""</f>
        <v>Y</v>
      </c>
      <c r="F10" s="289"/>
      <c r="G10" s="53"/>
      <c r="H10" s="25" t="s">
        <v>91</v>
      </c>
      <c r="J10" s="38" t="str">
        <f>calc!I16&amp;""</f>
        <v/>
      </c>
      <c r="K10" s="37" t="str">
        <f>_xlfn.LET(_xlpm.x,INDEX(EnterData_8[Competencies],MATCH(J10,EnterData_8[Competency Num],0),1),IF(ISERROR(_xlpm.x),"",_xlpm.x))</f>
        <v/>
      </c>
      <c r="L10" s="294"/>
      <c r="M10" s="295"/>
      <c r="N10" s="296"/>
      <c r="O10" s="296"/>
      <c r="P10" s="20"/>
      <c r="Q10" s="20"/>
      <c r="R10" s="20"/>
      <c r="S10" s="20"/>
    </row>
    <row r="11" spans="1:19" ht="58" x14ac:dyDescent="0.35">
      <c r="A11" s="3">
        <v>5</v>
      </c>
      <c r="B11" s="25" t="s">
        <v>12</v>
      </c>
      <c r="C11" s="4" t="s">
        <v>13</v>
      </c>
      <c r="D11" s="58"/>
      <c r="E11" s="5" t="str">
        <f>EnterData_7[[#This Row],[Essential]]&amp;""</f>
        <v>Y</v>
      </c>
      <c r="F11" s="289"/>
      <c r="G11" s="53"/>
      <c r="H11" s="25" t="s">
        <v>91</v>
      </c>
      <c r="J11" s="38" t="str">
        <f>calc!I17&amp;""</f>
        <v/>
      </c>
      <c r="K11" s="37" t="str">
        <f>_xlfn.LET(_xlpm.x,INDEX(EnterData_8[Competencies],MATCH(J11,EnterData_8[Competency Num],0),1),IF(ISERROR(_xlpm.x),"",_xlpm.x))</f>
        <v/>
      </c>
      <c r="L11" s="294"/>
      <c r="M11" s="295"/>
      <c r="N11" s="296"/>
      <c r="O11" s="296"/>
      <c r="P11" s="20"/>
      <c r="Q11" s="20"/>
      <c r="R11" s="20"/>
      <c r="S11" s="20"/>
    </row>
    <row r="12" spans="1:19" ht="43.5" x14ac:dyDescent="0.35">
      <c r="A12" s="3">
        <v>6</v>
      </c>
      <c r="B12" s="25" t="s">
        <v>15</v>
      </c>
      <c r="C12" s="4" t="s">
        <v>16</v>
      </c>
      <c r="D12" s="58"/>
      <c r="E12" s="5" t="str">
        <f>EnterData_7[[#This Row],[Essential]]&amp;""</f>
        <v>Y</v>
      </c>
      <c r="F12" s="289"/>
      <c r="G12" s="53"/>
      <c r="H12" s="25" t="s">
        <v>91</v>
      </c>
      <c r="J12" s="38" t="str">
        <f>calc!I18&amp;""</f>
        <v/>
      </c>
      <c r="K12" s="37" t="str">
        <f>_xlfn.LET(_xlpm.x,INDEX(EnterData_8[Competencies],MATCH(J12,EnterData_8[Competency Num],0),1),IF(ISERROR(_xlpm.x),"",_xlpm.x))</f>
        <v/>
      </c>
      <c r="L12" s="294"/>
      <c r="M12" s="295"/>
      <c r="N12" s="296"/>
      <c r="O12" s="296"/>
      <c r="P12" s="20"/>
      <c r="Q12" s="20"/>
      <c r="R12" s="20"/>
      <c r="S12" s="20"/>
    </row>
    <row r="13" spans="1:19" ht="58" x14ac:dyDescent="0.35">
      <c r="A13" s="3">
        <v>7</v>
      </c>
      <c r="B13" s="25" t="s">
        <v>17</v>
      </c>
      <c r="C13" s="4" t="s">
        <v>18</v>
      </c>
      <c r="D13" s="58"/>
      <c r="E13" s="5" t="str">
        <f>EnterData_7[[#This Row],[Essential]]&amp;""</f>
        <v>Y</v>
      </c>
      <c r="F13" s="289"/>
      <c r="G13" s="53"/>
      <c r="H13" s="25" t="s">
        <v>91</v>
      </c>
      <c r="J13" s="38" t="str">
        <f>calc!I19&amp;""</f>
        <v/>
      </c>
      <c r="K13" s="37" t="str">
        <f>_xlfn.LET(_xlpm.x,INDEX(EnterData_8[Competencies],MATCH(J13,EnterData_8[Competency Num],0),1),IF(ISERROR(_xlpm.x),"",_xlpm.x))</f>
        <v/>
      </c>
      <c r="L13" s="294"/>
      <c r="M13" s="295"/>
      <c r="N13" s="296"/>
      <c r="O13" s="296"/>
      <c r="P13" s="20"/>
      <c r="Q13" s="20"/>
      <c r="R13" s="20"/>
      <c r="S13" s="20"/>
    </row>
    <row r="14" spans="1:19" ht="58" x14ac:dyDescent="0.35">
      <c r="A14" s="3">
        <v>8</v>
      </c>
      <c r="B14" s="25" t="s">
        <v>19</v>
      </c>
      <c r="C14" s="4" t="s">
        <v>20</v>
      </c>
      <c r="D14" s="58"/>
      <c r="E14" s="5" t="str">
        <f>EnterData_7[[#This Row],[Essential]]&amp;""</f>
        <v>N</v>
      </c>
      <c r="F14" s="289"/>
      <c r="G14" s="53"/>
      <c r="H14" s="25" t="s">
        <v>91</v>
      </c>
      <c r="J14" s="38" t="str">
        <f>calc!I20&amp;""</f>
        <v/>
      </c>
      <c r="K14" s="37" t="str">
        <f>_xlfn.LET(_xlpm.x,INDEX(EnterData_8[Competencies],MATCH(J14,EnterData_8[Competency Num],0),1),IF(ISERROR(_xlpm.x),"",_xlpm.x))</f>
        <v/>
      </c>
      <c r="L14" s="294"/>
      <c r="M14" s="295"/>
      <c r="N14" s="296"/>
      <c r="O14" s="296"/>
      <c r="P14" s="20"/>
      <c r="Q14" s="20"/>
      <c r="R14" s="20"/>
      <c r="S14" s="20"/>
    </row>
    <row r="15" spans="1:19" ht="29" x14ac:dyDescent="0.35">
      <c r="A15" s="3">
        <v>9</v>
      </c>
      <c r="B15" s="25" t="s">
        <v>21</v>
      </c>
      <c r="C15" s="4" t="s">
        <v>22</v>
      </c>
      <c r="D15" s="58"/>
      <c r="E15" s="5" t="str">
        <f>EnterData_7[[#This Row],[Essential]]&amp;""</f>
        <v>Y</v>
      </c>
      <c r="F15" s="289"/>
      <c r="G15" s="53"/>
      <c r="H15" s="25" t="s">
        <v>91</v>
      </c>
      <c r="J15" s="38" t="str">
        <f>calc!I21&amp;""</f>
        <v/>
      </c>
      <c r="K15" s="37" t="str">
        <f>_xlfn.LET(_xlpm.x,INDEX(EnterData_8[Competencies],MATCH(J15,EnterData_8[Competency Num],0),1),IF(ISERROR(_xlpm.x),"",_xlpm.x))</f>
        <v/>
      </c>
      <c r="L15" s="294"/>
      <c r="M15" s="295"/>
      <c r="N15" s="296"/>
      <c r="O15" s="296"/>
      <c r="P15" s="20"/>
      <c r="Q15" s="20"/>
      <c r="R15" s="20"/>
      <c r="S15" s="20"/>
    </row>
    <row r="16" spans="1:19" ht="58" x14ac:dyDescent="0.35">
      <c r="A16" s="3">
        <v>10</v>
      </c>
      <c r="B16" s="319" t="s">
        <v>23</v>
      </c>
      <c r="C16" s="320" t="s">
        <v>24</v>
      </c>
      <c r="D16" s="299"/>
      <c r="E16" s="300" t="str">
        <f>EnterData_7[[#This Row],[Essential]]&amp;""</f>
        <v>Y</v>
      </c>
      <c r="F16" s="301"/>
      <c r="G16" s="302"/>
      <c r="H16" s="25" t="s">
        <v>91</v>
      </c>
      <c r="J16" s="38" t="str">
        <f>calc!I22&amp;""</f>
        <v/>
      </c>
      <c r="K16" s="37" t="str">
        <f>_xlfn.LET(_xlpm.x,INDEX(EnterData_8[Competencies],MATCH(J16,EnterData_8[Competency Num],0),1),IF(ISERROR(_xlpm.x),"",_xlpm.x))</f>
        <v/>
      </c>
      <c r="L16" s="294"/>
      <c r="M16" s="295"/>
      <c r="N16" s="296"/>
      <c r="O16" s="296"/>
      <c r="P16" s="20"/>
      <c r="Q16" s="20"/>
      <c r="R16" s="20"/>
      <c r="S16" s="20"/>
    </row>
    <row r="17" spans="1:19" ht="58" x14ac:dyDescent="0.35">
      <c r="A17" s="6">
        <v>11</v>
      </c>
      <c r="B17" s="316" t="s">
        <v>25</v>
      </c>
      <c r="C17" s="317" t="s">
        <v>26</v>
      </c>
      <c r="D17" s="57"/>
      <c r="E17" s="2" t="str">
        <f>EnterData_7[[#This Row],[Essential]]&amp;""</f>
        <v>Y</v>
      </c>
      <c r="F17" s="288"/>
      <c r="G17" s="318"/>
      <c r="H17" s="26" t="s">
        <v>92</v>
      </c>
      <c r="J17" s="38" t="str">
        <f>calc!I23&amp;""</f>
        <v/>
      </c>
      <c r="K17" s="37" t="str">
        <f>_xlfn.LET(_xlpm.x,INDEX(EnterData_8[Competencies],MATCH(J17,EnterData_8[Competency Num],0),1),IF(ISERROR(_xlpm.x),"",_xlpm.x))</f>
        <v/>
      </c>
      <c r="L17" s="294"/>
      <c r="M17" s="295"/>
      <c r="N17" s="296"/>
      <c r="O17" s="296"/>
      <c r="P17" s="20"/>
      <c r="Q17" s="20"/>
      <c r="R17" s="20"/>
      <c r="S17" s="20"/>
    </row>
    <row r="18" spans="1:19" ht="29" x14ac:dyDescent="0.35">
      <c r="A18" s="6">
        <v>12</v>
      </c>
      <c r="B18" s="26" t="s">
        <v>27</v>
      </c>
      <c r="C18" s="7" t="s">
        <v>28</v>
      </c>
      <c r="D18" s="58"/>
      <c r="E18" s="5" t="str">
        <f>EnterData_7[[#This Row],[Essential]]&amp;""</f>
        <v>Y</v>
      </c>
      <c r="F18" s="289"/>
      <c r="G18" s="53"/>
      <c r="H18" s="26" t="s">
        <v>92</v>
      </c>
      <c r="J18" s="38" t="str">
        <f>calc!I24&amp;""</f>
        <v/>
      </c>
      <c r="K18" s="37" t="str">
        <f>_xlfn.LET(_xlpm.x,INDEX(EnterData_8[Competencies],MATCH(J18,EnterData_8[Competency Num],0),1),IF(ISERROR(_xlpm.x),"",_xlpm.x))</f>
        <v/>
      </c>
      <c r="L18" s="294"/>
      <c r="M18" s="295"/>
      <c r="N18" s="296"/>
      <c r="O18" s="296"/>
      <c r="P18" s="20"/>
      <c r="Q18" s="20"/>
      <c r="R18" s="20"/>
      <c r="S18" s="20"/>
    </row>
    <row r="19" spans="1:19" ht="43.5" x14ac:dyDescent="0.35">
      <c r="A19" s="6">
        <v>13</v>
      </c>
      <c r="B19" s="26" t="s">
        <v>29</v>
      </c>
      <c r="C19" s="7" t="s">
        <v>30</v>
      </c>
      <c r="D19" s="58"/>
      <c r="E19" s="5" t="str">
        <f>EnterData_7[[#This Row],[Essential]]&amp;""</f>
        <v>Y</v>
      </c>
      <c r="F19" s="289"/>
      <c r="G19" s="53"/>
      <c r="H19" s="26" t="s">
        <v>92</v>
      </c>
      <c r="J19" s="38" t="str">
        <f>calc!I25&amp;""</f>
        <v/>
      </c>
      <c r="K19" s="37" t="str">
        <f>_xlfn.LET(_xlpm.x,INDEX(EnterData_8[Competencies],MATCH(J19,EnterData_8[Competency Num],0),1),IF(ISERROR(_xlpm.x),"",_xlpm.x))</f>
        <v/>
      </c>
      <c r="L19" s="294"/>
      <c r="M19" s="295"/>
      <c r="N19" s="296"/>
      <c r="O19" s="296"/>
      <c r="P19" s="20"/>
      <c r="Q19" s="20"/>
      <c r="R19" s="20"/>
      <c r="S19" s="20"/>
    </row>
    <row r="20" spans="1:19" ht="43.5" x14ac:dyDescent="0.35">
      <c r="A20" s="6">
        <v>14</v>
      </c>
      <c r="B20" s="26" t="s">
        <v>31</v>
      </c>
      <c r="C20" s="7" t="s">
        <v>32</v>
      </c>
      <c r="D20" s="58"/>
      <c r="E20" s="5" t="str">
        <f>EnterData_7[[#This Row],[Essential]]&amp;""</f>
        <v>N</v>
      </c>
      <c r="F20" s="289"/>
      <c r="G20" s="53"/>
      <c r="H20" s="26" t="s">
        <v>92</v>
      </c>
      <c r="J20" s="38" t="str">
        <f>calc!I26&amp;""</f>
        <v/>
      </c>
      <c r="K20" s="37" t="str">
        <f>_xlfn.LET(_xlpm.x,INDEX(EnterData_8[Competencies],MATCH(J20,EnterData_8[Competency Num],0),1),IF(ISERROR(_xlpm.x),"",_xlpm.x))</f>
        <v/>
      </c>
      <c r="L20" s="294"/>
      <c r="M20" s="295"/>
      <c r="N20" s="296"/>
      <c r="O20" s="296"/>
      <c r="P20" s="20"/>
      <c r="Q20" s="20"/>
      <c r="R20" s="20"/>
      <c r="S20" s="20"/>
    </row>
    <row r="21" spans="1:19" ht="58" x14ac:dyDescent="0.35">
      <c r="A21" s="6">
        <v>15</v>
      </c>
      <c r="B21" s="26" t="s">
        <v>33</v>
      </c>
      <c r="C21" s="7" t="s">
        <v>34</v>
      </c>
      <c r="D21" s="58"/>
      <c r="E21" s="5" t="str">
        <f>EnterData_7[[#This Row],[Essential]]&amp;""</f>
        <v>Y</v>
      </c>
      <c r="F21" s="289"/>
      <c r="G21" s="53"/>
      <c r="H21" s="26" t="s">
        <v>92</v>
      </c>
      <c r="J21" s="38" t="str">
        <f>calc!I27&amp;""</f>
        <v/>
      </c>
      <c r="K21" s="37" t="str">
        <f>_xlfn.LET(_xlpm.x,INDEX(EnterData_8[Competencies],MATCH(J21,EnterData_8[Competency Num],0),1),IF(ISERROR(_xlpm.x),"",_xlpm.x))</f>
        <v/>
      </c>
      <c r="L21" s="294"/>
      <c r="M21" s="295"/>
      <c r="N21" s="296"/>
      <c r="O21" s="296"/>
      <c r="P21" s="20"/>
      <c r="Q21" s="20"/>
      <c r="R21" s="20"/>
      <c r="S21" s="20"/>
    </row>
    <row r="22" spans="1:19" ht="29" x14ac:dyDescent="0.35">
      <c r="A22" s="6">
        <v>16</v>
      </c>
      <c r="B22" s="26" t="s">
        <v>35</v>
      </c>
      <c r="C22" s="7" t="s">
        <v>36</v>
      </c>
      <c r="D22" s="58"/>
      <c r="E22" s="5" t="str">
        <f>EnterData_7[[#This Row],[Essential]]&amp;""</f>
        <v>Y</v>
      </c>
      <c r="F22" s="289"/>
      <c r="G22" s="53"/>
      <c r="H22" s="26" t="s">
        <v>92</v>
      </c>
      <c r="J22" s="38" t="str">
        <f>calc!I28&amp;""</f>
        <v/>
      </c>
      <c r="K22" s="37" t="str">
        <f>_xlfn.LET(_xlpm.x,INDEX(EnterData_8[Competencies],MATCH(J22,EnterData_8[Competency Num],0),1),IF(ISERROR(_xlpm.x),"",_xlpm.x))</f>
        <v/>
      </c>
      <c r="L22" s="294"/>
      <c r="M22" s="295"/>
      <c r="N22" s="296"/>
      <c r="O22" s="296"/>
      <c r="P22" s="20"/>
      <c r="Q22" s="20"/>
      <c r="R22" s="20"/>
      <c r="S22" s="20"/>
    </row>
    <row r="23" spans="1:19" ht="43.5" x14ac:dyDescent="0.35">
      <c r="A23" s="6">
        <v>17</v>
      </c>
      <c r="B23" s="26" t="s">
        <v>37</v>
      </c>
      <c r="C23" s="7" t="s">
        <v>38</v>
      </c>
      <c r="D23" s="58"/>
      <c r="E23" s="5" t="str">
        <f>EnterData_7[[#This Row],[Essential]]&amp;""</f>
        <v>Y</v>
      </c>
      <c r="F23" s="289"/>
      <c r="G23" s="53"/>
      <c r="H23" s="26" t="s">
        <v>92</v>
      </c>
      <c r="J23" s="38" t="str">
        <f>calc!I29&amp;""</f>
        <v/>
      </c>
      <c r="K23" s="37" t="str">
        <f>_xlfn.LET(_xlpm.x,INDEX(EnterData_8[Competencies],MATCH(J23,EnterData_8[Competency Num],0),1),IF(ISERROR(_xlpm.x),"",_xlpm.x))</f>
        <v/>
      </c>
      <c r="L23" s="294"/>
      <c r="M23" s="295"/>
      <c r="N23" s="296"/>
      <c r="O23" s="296"/>
      <c r="P23" s="20"/>
      <c r="Q23" s="20"/>
      <c r="R23" s="20"/>
      <c r="S23" s="20"/>
    </row>
    <row r="24" spans="1:19" ht="43.5" x14ac:dyDescent="0.35">
      <c r="A24" s="6">
        <v>18</v>
      </c>
      <c r="B24" s="26" t="s">
        <v>39</v>
      </c>
      <c r="C24" s="7" t="s">
        <v>40</v>
      </c>
      <c r="D24" s="58"/>
      <c r="E24" s="5" t="str">
        <f>EnterData_7[[#This Row],[Essential]]&amp;""</f>
        <v>N</v>
      </c>
      <c r="F24" s="289"/>
      <c r="G24" s="53"/>
      <c r="H24" s="26" t="s">
        <v>92</v>
      </c>
      <c r="J24" s="38" t="str">
        <f>calc!I30&amp;""</f>
        <v/>
      </c>
      <c r="K24" s="37" t="str">
        <f>_xlfn.LET(_xlpm.x,INDEX(EnterData_8[Competencies],MATCH(J24,EnterData_8[Competency Num],0),1),IF(ISERROR(_xlpm.x),"",_xlpm.x))</f>
        <v/>
      </c>
      <c r="L24" s="294"/>
      <c r="M24" s="295"/>
      <c r="N24" s="296"/>
      <c r="O24" s="296"/>
      <c r="P24" s="20"/>
      <c r="Q24" s="20"/>
      <c r="R24" s="20"/>
      <c r="S24" s="20"/>
    </row>
    <row r="25" spans="1:19" ht="43.5" x14ac:dyDescent="0.35">
      <c r="A25" s="6">
        <v>19</v>
      </c>
      <c r="B25" s="26" t="s">
        <v>41</v>
      </c>
      <c r="C25" s="7" t="s">
        <v>42</v>
      </c>
      <c r="D25" s="58"/>
      <c r="E25" s="5" t="str">
        <f>EnterData_7[[#This Row],[Essential]]&amp;""</f>
        <v>Y</v>
      </c>
      <c r="F25" s="289"/>
      <c r="G25" s="53"/>
      <c r="H25" s="26" t="s">
        <v>92</v>
      </c>
      <c r="J25" s="38" t="str">
        <f>calc!I31&amp;""</f>
        <v/>
      </c>
      <c r="K25" s="37" t="str">
        <f>_xlfn.LET(_xlpm.x,INDEX(EnterData_8[Competencies],MATCH(J25,EnterData_8[Competency Num],0),1),IF(ISERROR(_xlpm.x),"",_xlpm.x))</f>
        <v/>
      </c>
      <c r="L25" s="294"/>
      <c r="M25" s="295"/>
      <c r="N25" s="296"/>
      <c r="O25" s="296"/>
      <c r="P25" s="20"/>
      <c r="Q25" s="20"/>
      <c r="R25" s="20"/>
      <c r="S25" s="20"/>
    </row>
    <row r="26" spans="1:19" ht="29" x14ac:dyDescent="0.35">
      <c r="A26" s="6">
        <v>20</v>
      </c>
      <c r="B26" s="26" t="s">
        <v>43</v>
      </c>
      <c r="C26" s="7" t="s">
        <v>44</v>
      </c>
      <c r="D26" s="58"/>
      <c r="E26" s="5" t="str">
        <f>EnterData_7[[#This Row],[Essential]]&amp;""</f>
        <v>Y</v>
      </c>
      <c r="F26" s="289"/>
      <c r="G26" s="53"/>
      <c r="H26" s="26" t="s">
        <v>92</v>
      </c>
      <c r="J26" s="38" t="str">
        <f>calc!I32&amp;""</f>
        <v/>
      </c>
      <c r="K26" s="37" t="str">
        <f>_xlfn.LET(_xlpm.x,INDEX(EnterData_8[Competencies],MATCH(J26,EnterData_8[Competency Num],0),1),IF(ISERROR(_xlpm.x),"",_xlpm.x))</f>
        <v/>
      </c>
      <c r="L26" s="294"/>
      <c r="M26" s="295"/>
      <c r="N26" s="296"/>
      <c r="O26" s="296"/>
      <c r="P26" s="20"/>
      <c r="Q26" s="20"/>
      <c r="R26" s="20"/>
      <c r="S26" s="20"/>
    </row>
    <row r="27" spans="1:19" ht="29" x14ac:dyDescent="0.35">
      <c r="A27" s="6">
        <v>21</v>
      </c>
      <c r="B27" s="26" t="s">
        <v>45</v>
      </c>
      <c r="C27" s="7" t="s">
        <v>46</v>
      </c>
      <c r="D27" s="58"/>
      <c r="E27" s="5" t="str">
        <f>EnterData_7[[#This Row],[Essential]]&amp;""</f>
        <v>Y</v>
      </c>
      <c r="F27" s="289"/>
      <c r="G27" s="53"/>
      <c r="H27" s="26" t="s">
        <v>92</v>
      </c>
      <c r="J27" s="38" t="str">
        <f>calc!I33&amp;""</f>
        <v/>
      </c>
      <c r="K27" s="37" t="str">
        <f>_xlfn.LET(_xlpm.x,INDEX(EnterData_8[Competencies],MATCH(J27,EnterData_8[Competency Num],0),1),IF(ISERROR(_xlpm.x),"",_xlpm.x))</f>
        <v/>
      </c>
      <c r="L27" s="294"/>
      <c r="M27" s="295"/>
      <c r="N27" s="296"/>
      <c r="O27" s="296"/>
      <c r="P27" s="20"/>
      <c r="Q27" s="20"/>
      <c r="R27" s="20"/>
      <c r="S27" s="20"/>
    </row>
    <row r="28" spans="1:19" ht="43.5" x14ac:dyDescent="0.35">
      <c r="A28" s="6">
        <v>22</v>
      </c>
      <c r="B28" s="26" t="s">
        <v>47</v>
      </c>
      <c r="C28" s="7" t="s">
        <v>48</v>
      </c>
      <c r="D28" s="58"/>
      <c r="E28" s="5" t="str">
        <f>EnterData_7[[#This Row],[Essential]]&amp;""</f>
        <v>Y</v>
      </c>
      <c r="F28" s="289"/>
      <c r="G28" s="53"/>
      <c r="H28" s="26" t="s">
        <v>92</v>
      </c>
      <c r="J28" s="38" t="str">
        <f>calc!I34&amp;""</f>
        <v/>
      </c>
      <c r="K28" s="37" t="str">
        <f>_xlfn.LET(_xlpm.x,INDEX(EnterData_8[Competencies],MATCH(J28,EnterData_8[Competency Num],0),1),IF(ISERROR(_xlpm.x),"",_xlpm.x))</f>
        <v/>
      </c>
      <c r="L28" s="294"/>
      <c r="M28" s="295"/>
      <c r="N28" s="296"/>
      <c r="O28" s="296"/>
      <c r="P28" s="20"/>
      <c r="Q28" s="20"/>
      <c r="R28" s="20"/>
      <c r="S28" s="20"/>
    </row>
    <row r="29" spans="1:19" ht="43.5" x14ac:dyDescent="0.35">
      <c r="A29" s="6">
        <v>23</v>
      </c>
      <c r="B29" s="322" t="s">
        <v>49</v>
      </c>
      <c r="C29" s="323" t="s">
        <v>50</v>
      </c>
      <c r="D29" s="299"/>
      <c r="E29" s="300" t="str">
        <f>EnterData_7[[#This Row],[Essential]]&amp;""</f>
        <v>Y</v>
      </c>
      <c r="F29" s="301"/>
      <c r="G29" s="302"/>
      <c r="H29" s="26" t="s">
        <v>92</v>
      </c>
      <c r="J29" s="38" t="str">
        <f>calc!I35&amp;""</f>
        <v/>
      </c>
      <c r="K29" s="37" t="str">
        <f>_xlfn.LET(_xlpm.x,INDEX(EnterData_8[Competencies],MATCH(J29,EnterData_8[Competency Num],0),1),IF(ISERROR(_xlpm.x),"",_xlpm.x))</f>
        <v/>
      </c>
      <c r="L29" s="294"/>
      <c r="M29" s="295"/>
      <c r="N29" s="296"/>
      <c r="O29" s="296"/>
      <c r="P29" s="20"/>
      <c r="Q29" s="20"/>
      <c r="R29" s="20"/>
      <c r="S29" s="20"/>
    </row>
    <row r="30" spans="1:19" ht="29" x14ac:dyDescent="0.35">
      <c r="A30" s="8">
        <v>24</v>
      </c>
      <c r="B30" s="321" t="s">
        <v>51</v>
      </c>
      <c r="C30" s="21" t="s">
        <v>52</v>
      </c>
      <c r="D30" s="57"/>
      <c r="E30" s="2" t="str">
        <f>EnterData_7[[#This Row],[Essential]]&amp;""</f>
        <v>N</v>
      </c>
      <c r="F30" s="288"/>
      <c r="G30" s="318"/>
      <c r="H30" s="27" t="s">
        <v>93</v>
      </c>
      <c r="J30" s="38" t="str">
        <f>calc!I36&amp;""</f>
        <v/>
      </c>
      <c r="K30" s="37" t="str">
        <f>_xlfn.LET(_xlpm.x,INDEX(EnterData_8[Competencies],MATCH(J30,EnterData_8[Competency Num],0),1),IF(ISERROR(_xlpm.x),"",_xlpm.x))</f>
        <v/>
      </c>
      <c r="L30" s="294"/>
      <c r="M30" s="295"/>
      <c r="N30" s="296"/>
      <c r="O30" s="296"/>
      <c r="P30" s="20"/>
      <c r="Q30" s="20"/>
      <c r="R30" s="20"/>
      <c r="S30" s="20"/>
    </row>
    <row r="31" spans="1:19" ht="43.5" x14ac:dyDescent="0.35">
      <c r="A31" s="8">
        <v>25</v>
      </c>
      <c r="B31" s="27" t="s">
        <v>53</v>
      </c>
      <c r="C31" s="4" t="s">
        <v>54</v>
      </c>
      <c r="D31" s="58"/>
      <c r="E31" s="5" t="str">
        <f>EnterData_7[[#This Row],[Essential]]&amp;""</f>
        <v>Y</v>
      </c>
      <c r="F31" s="289"/>
      <c r="G31" s="53"/>
      <c r="H31" s="27" t="s">
        <v>93</v>
      </c>
      <c r="J31" s="38" t="str">
        <f>calc!I37&amp;""</f>
        <v/>
      </c>
      <c r="K31" s="37" t="str">
        <f>_xlfn.LET(_xlpm.x,INDEX(EnterData_8[Competencies],MATCH(J31,EnterData_8[Competency Num],0),1),IF(ISERROR(_xlpm.x),"",_xlpm.x))</f>
        <v/>
      </c>
      <c r="L31" s="294"/>
      <c r="M31" s="295"/>
      <c r="N31" s="296"/>
      <c r="O31" s="296"/>
      <c r="P31" s="20"/>
      <c r="Q31" s="20"/>
      <c r="R31" s="20"/>
      <c r="S31" s="20"/>
    </row>
    <row r="32" spans="1:19" ht="29" x14ac:dyDescent="0.35">
      <c r="A32" s="8">
        <v>26</v>
      </c>
      <c r="B32" s="27" t="s">
        <v>55</v>
      </c>
      <c r="C32" s="4" t="s">
        <v>56</v>
      </c>
      <c r="D32" s="58"/>
      <c r="E32" s="5" t="str">
        <f>EnterData_7[[#This Row],[Essential]]&amp;""</f>
        <v>Y</v>
      </c>
      <c r="F32" s="289"/>
      <c r="G32" s="53"/>
      <c r="H32" s="27" t="s">
        <v>93</v>
      </c>
      <c r="J32" s="38" t="str">
        <f>calc!I38&amp;""</f>
        <v/>
      </c>
      <c r="K32" s="37" t="str">
        <f>_xlfn.LET(_xlpm.x,INDEX(EnterData_8[Competencies],MATCH(J32,EnterData_8[Competency Num],0),1),IF(ISERROR(_xlpm.x),"",_xlpm.x))</f>
        <v/>
      </c>
      <c r="L32" s="294"/>
      <c r="M32" s="295"/>
      <c r="N32" s="296"/>
      <c r="O32" s="296"/>
      <c r="P32" s="20"/>
      <c r="Q32" s="20"/>
      <c r="R32" s="20"/>
      <c r="S32" s="20"/>
    </row>
    <row r="33" spans="1:19" ht="29" x14ac:dyDescent="0.35">
      <c r="A33" s="8">
        <v>27</v>
      </c>
      <c r="B33" s="27" t="s">
        <v>57</v>
      </c>
      <c r="C33" s="4" t="s">
        <v>58</v>
      </c>
      <c r="D33" s="58"/>
      <c r="E33" s="5" t="str">
        <f>EnterData_7[[#This Row],[Essential]]&amp;""</f>
        <v>Y</v>
      </c>
      <c r="F33" s="289"/>
      <c r="G33" s="53"/>
      <c r="H33" s="27" t="s">
        <v>93</v>
      </c>
      <c r="J33" s="38" t="str">
        <f>calc!I39&amp;""</f>
        <v/>
      </c>
      <c r="K33" s="37" t="str">
        <f>_xlfn.LET(_xlpm.x,INDEX(EnterData_8[Competencies],MATCH(J33,EnterData_8[Competency Num],0),1),IF(ISERROR(_xlpm.x),"",_xlpm.x))</f>
        <v/>
      </c>
      <c r="L33" s="294"/>
      <c r="M33" s="295"/>
      <c r="N33" s="296"/>
      <c r="O33" s="296"/>
      <c r="P33" s="20"/>
      <c r="Q33" s="20"/>
      <c r="R33" s="20"/>
      <c r="S33" s="20"/>
    </row>
    <row r="34" spans="1:19" ht="29" x14ac:dyDescent="0.35">
      <c r="A34" s="8">
        <v>28</v>
      </c>
      <c r="B34" s="27" t="s">
        <v>59</v>
      </c>
      <c r="C34" s="4" t="s">
        <v>60</v>
      </c>
      <c r="D34" s="58"/>
      <c r="E34" s="5" t="str">
        <f>EnterData_7[[#This Row],[Essential]]&amp;""</f>
        <v>Y</v>
      </c>
      <c r="F34" s="289"/>
      <c r="G34" s="53"/>
      <c r="H34" s="27" t="s">
        <v>93</v>
      </c>
      <c r="J34" s="38" t="str">
        <f>calc!I40&amp;""</f>
        <v/>
      </c>
      <c r="K34" s="37" t="str">
        <f>_xlfn.LET(_xlpm.x,INDEX(EnterData_8[Competencies],MATCH(J34,EnterData_8[Competency Num],0),1),IF(ISERROR(_xlpm.x),"",_xlpm.x))</f>
        <v/>
      </c>
      <c r="L34" s="294"/>
      <c r="M34" s="295"/>
      <c r="N34" s="296"/>
      <c r="O34" s="296"/>
      <c r="P34" s="20"/>
      <c r="Q34" s="20"/>
      <c r="R34" s="20"/>
      <c r="S34" s="20"/>
    </row>
    <row r="35" spans="1:19" ht="58" x14ac:dyDescent="0.35">
      <c r="A35" s="8">
        <v>29</v>
      </c>
      <c r="B35" s="27" t="s">
        <v>61</v>
      </c>
      <c r="C35" s="4" t="s">
        <v>62</v>
      </c>
      <c r="D35" s="58"/>
      <c r="E35" s="5" t="str">
        <f>EnterData_7[[#This Row],[Essential]]&amp;""</f>
        <v>Y</v>
      </c>
      <c r="F35" s="289"/>
      <c r="G35" s="53"/>
      <c r="H35" s="27" t="s">
        <v>93</v>
      </c>
      <c r="J35" s="38" t="str">
        <f>calc!I41&amp;""</f>
        <v/>
      </c>
      <c r="K35" s="37" t="str">
        <f>_xlfn.LET(_xlpm.x,INDEX(EnterData_8[Competencies],MATCH(J35,EnterData_8[Competency Num],0),1),IF(ISERROR(_xlpm.x),"",_xlpm.x))</f>
        <v/>
      </c>
      <c r="L35" s="294"/>
      <c r="M35" s="295"/>
      <c r="N35" s="296"/>
      <c r="O35" s="296"/>
      <c r="P35" s="20"/>
      <c r="Q35" s="20"/>
      <c r="R35" s="20"/>
      <c r="S35" s="20"/>
    </row>
    <row r="36" spans="1:19" ht="43.5" x14ac:dyDescent="0.35">
      <c r="A36" s="8">
        <v>30</v>
      </c>
      <c r="B36" s="27" t="s">
        <v>63</v>
      </c>
      <c r="C36" s="4" t="s">
        <v>64</v>
      </c>
      <c r="D36" s="58"/>
      <c r="E36" s="5" t="str">
        <f>EnterData_7[[#This Row],[Essential]]&amp;""</f>
        <v>Y</v>
      </c>
      <c r="F36" s="289"/>
      <c r="G36" s="53"/>
      <c r="H36" s="27" t="s">
        <v>93</v>
      </c>
      <c r="J36" s="38" t="str">
        <f>calc!I42&amp;""</f>
        <v/>
      </c>
      <c r="K36" s="37" t="str">
        <f>_xlfn.LET(_xlpm.x,INDEX(EnterData_8[Competencies],MATCH(J36,EnterData_8[Competency Num],0),1),IF(ISERROR(_xlpm.x),"",_xlpm.x))</f>
        <v/>
      </c>
      <c r="L36" s="294"/>
      <c r="M36" s="295"/>
      <c r="N36" s="296"/>
      <c r="O36" s="296"/>
      <c r="P36" s="20"/>
      <c r="Q36" s="20"/>
      <c r="R36" s="20"/>
      <c r="S36" s="20"/>
    </row>
    <row r="37" spans="1:19" ht="43.5" x14ac:dyDescent="0.35">
      <c r="A37" s="8">
        <v>31</v>
      </c>
      <c r="B37" s="27" t="s">
        <v>65</v>
      </c>
      <c r="C37" s="4" t="s">
        <v>66</v>
      </c>
      <c r="D37" s="58"/>
      <c r="E37" s="5" t="str">
        <f>EnterData_7[[#This Row],[Essential]]&amp;""</f>
        <v>Y</v>
      </c>
      <c r="F37" s="289"/>
      <c r="G37" s="53"/>
      <c r="H37" s="27" t="s">
        <v>93</v>
      </c>
      <c r="J37" s="38" t="str">
        <f>calc!I43&amp;""</f>
        <v/>
      </c>
      <c r="K37" s="37" t="str">
        <f>_xlfn.LET(_xlpm.x,INDEX(EnterData_8[Competencies],MATCH(J37,EnterData_8[Competency Num],0),1),IF(ISERROR(_xlpm.x),"",_xlpm.x))</f>
        <v/>
      </c>
      <c r="L37" s="294"/>
      <c r="M37" s="295"/>
      <c r="N37" s="296"/>
      <c r="O37" s="296"/>
      <c r="P37" s="20"/>
      <c r="Q37" s="20"/>
      <c r="R37" s="20"/>
      <c r="S37" s="20"/>
    </row>
    <row r="38" spans="1:19" ht="58" x14ac:dyDescent="0.35">
      <c r="A38" s="8">
        <v>32</v>
      </c>
      <c r="B38" s="27" t="s">
        <v>67</v>
      </c>
      <c r="C38" s="4" t="s">
        <v>68</v>
      </c>
      <c r="D38" s="58"/>
      <c r="E38" s="5" t="str">
        <f>EnterData_7[[#This Row],[Essential]]&amp;""</f>
        <v>Y</v>
      </c>
      <c r="F38" s="289"/>
      <c r="G38" s="53"/>
      <c r="H38" s="27" t="s">
        <v>93</v>
      </c>
      <c r="J38" s="38" t="str">
        <f>calc!I44&amp;""</f>
        <v/>
      </c>
      <c r="K38" s="37" t="str">
        <f>_xlfn.LET(_xlpm.x,INDEX(EnterData_8[Competencies],MATCH(J38,EnterData_8[Competency Num],0),1),IF(ISERROR(_xlpm.x),"",_xlpm.x))</f>
        <v/>
      </c>
      <c r="L38" s="294"/>
      <c r="M38" s="295"/>
      <c r="N38" s="296"/>
      <c r="O38" s="296"/>
      <c r="P38" s="20"/>
      <c r="Q38" s="20"/>
      <c r="R38" s="20"/>
      <c r="S38" s="20"/>
    </row>
    <row r="39" spans="1:19" ht="43.5" x14ac:dyDescent="0.35">
      <c r="A39" s="8">
        <v>33</v>
      </c>
      <c r="B39" s="27" t="s">
        <v>69</v>
      </c>
      <c r="C39" s="4" t="s">
        <v>70</v>
      </c>
      <c r="D39" s="58"/>
      <c r="E39" s="5" t="str">
        <f>EnterData_7[[#This Row],[Essential]]&amp;""</f>
        <v>Y</v>
      </c>
      <c r="F39" s="289"/>
      <c r="G39" s="53"/>
      <c r="H39" s="27" t="s">
        <v>93</v>
      </c>
      <c r="J39" s="38" t="str">
        <f>calc!I45&amp;""</f>
        <v/>
      </c>
      <c r="K39" s="37" t="str">
        <f>_xlfn.LET(_xlpm.x,INDEX(EnterData_8[Competencies],MATCH(J39,EnterData_8[Competency Num],0),1),IF(ISERROR(_xlpm.x),"",_xlpm.x))</f>
        <v/>
      </c>
      <c r="L39" s="294"/>
      <c r="M39" s="295"/>
      <c r="N39" s="296"/>
      <c r="O39" s="296"/>
      <c r="P39" s="20"/>
      <c r="Q39" s="20"/>
      <c r="R39" s="20"/>
      <c r="S39" s="20"/>
    </row>
    <row r="40" spans="1:19" ht="43.5" x14ac:dyDescent="0.35">
      <c r="A40" s="8">
        <v>34</v>
      </c>
      <c r="B40" s="27" t="s">
        <v>71</v>
      </c>
      <c r="C40" s="4" t="s">
        <v>72</v>
      </c>
      <c r="D40" s="58"/>
      <c r="E40" s="5" t="str">
        <f>EnterData_7[[#This Row],[Essential]]&amp;""</f>
        <v>Y</v>
      </c>
      <c r="F40" s="289"/>
      <c r="G40" s="53"/>
      <c r="H40" s="27" t="s">
        <v>93</v>
      </c>
      <c r="J40" s="38" t="str">
        <f>calc!I46&amp;""</f>
        <v/>
      </c>
      <c r="K40" s="37" t="str">
        <f>_xlfn.LET(_xlpm.x,INDEX(EnterData_8[Competencies],MATCH(J40,EnterData_8[Competency Num],0),1),IF(ISERROR(_xlpm.x),"",_xlpm.x))</f>
        <v/>
      </c>
      <c r="L40" s="294"/>
      <c r="M40" s="295"/>
      <c r="N40" s="296"/>
      <c r="O40" s="296"/>
      <c r="P40" s="20"/>
      <c r="Q40" s="20"/>
      <c r="R40" s="20"/>
      <c r="S40" s="20"/>
    </row>
    <row r="41" spans="1:19" ht="29" x14ac:dyDescent="0.35">
      <c r="A41" s="8">
        <v>35</v>
      </c>
      <c r="B41" s="27" t="s">
        <v>73</v>
      </c>
      <c r="C41" s="4" t="s">
        <v>74</v>
      </c>
      <c r="D41" s="58"/>
      <c r="E41" s="5" t="str">
        <f>EnterData_7[[#This Row],[Essential]]&amp;""</f>
        <v>Y</v>
      </c>
      <c r="F41" s="289"/>
      <c r="G41" s="53"/>
      <c r="H41" s="27" t="s">
        <v>93</v>
      </c>
      <c r="J41" s="38" t="str">
        <f>calc!I47&amp;""</f>
        <v/>
      </c>
      <c r="K41" s="37" t="str">
        <f>_xlfn.LET(_xlpm.x,INDEX(EnterData_8[Competencies],MATCH(J41,EnterData_8[Competency Num],0),1),IF(ISERROR(_xlpm.x),"",_xlpm.x))</f>
        <v/>
      </c>
      <c r="L41" s="294"/>
      <c r="M41" s="295"/>
      <c r="N41" s="296"/>
      <c r="O41" s="296"/>
      <c r="P41" s="20"/>
      <c r="Q41" s="20"/>
      <c r="R41" s="20"/>
      <c r="S41" s="20"/>
    </row>
    <row r="42" spans="1:19" ht="43.5" x14ac:dyDescent="0.35">
      <c r="A42" s="9">
        <v>36</v>
      </c>
      <c r="B42" s="29" t="s">
        <v>75</v>
      </c>
      <c r="C42" s="42" t="s">
        <v>76</v>
      </c>
      <c r="D42" s="59"/>
      <c r="E42" s="30" t="str">
        <f>EnterData_7[[#This Row],[Essential]]&amp;""</f>
        <v>N</v>
      </c>
      <c r="F42" s="290"/>
      <c r="G42" s="54"/>
      <c r="H42" s="29" t="s">
        <v>93</v>
      </c>
      <c r="J42" s="38" t="str">
        <f>calc!I48&amp;""</f>
        <v/>
      </c>
      <c r="K42" s="37" t="str">
        <f>_xlfn.LET(_xlpm.x,INDEX(EnterData_8[Competencies],MATCH(J42,EnterData_8[Competency Num],0),1),IF(ISERROR(_xlpm.x),"",_xlpm.x))</f>
        <v/>
      </c>
      <c r="L42" s="294"/>
      <c r="M42" s="295"/>
      <c r="N42" s="296"/>
      <c r="O42" s="296"/>
      <c r="P42" s="20"/>
      <c r="Q42" s="20"/>
      <c r="R42" s="20"/>
      <c r="S42" s="20"/>
    </row>
    <row r="43" spans="1:19" x14ac:dyDescent="0.35">
      <c r="A43" s="20"/>
      <c r="B43" s="55"/>
      <c r="C43" s="51"/>
      <c r="D43" s="10"/>
      <c r="E43" s="10"/>
      <c r="F43" s="20"/>
      <c r="G43" s="20"/>
      <c r="H43" s="20"/>
      <c r="I43" s="20"/>
      <c r="J43" s="20"/>
      <c r="K43" s="20"/>
      <c r="L43" s="20"/>
      <c r="M43" s="20"/>
      <c r="N43" s="20"/>
      <c r="O43" s="20"/>
      <c r="P43" s="20"/>
      <c r="Q43" s="20"/>
      <c r="R43" s="20"/>
      <c r="S43" s="20"/>
    </row>
    <row r="44" spans="1:19" x14ac:dyDescent="0.35">
      <c r="A44" s="20"/>
      <c r="B44" s="56" t="s">
        <v>77</v>
      </c>
      <c r="C44" s="74" t="s">
        <v>78</v>
      </c>
      <c r="D44" s="11" t="s">
        <v>79</v>
      </c>
      <c r="E44" s="65" t="s">
        <v>80</v>
      </c>
      <c r="F44" s="65"/>
      <c r="G44" s="20"/>
      <c r="H44" s="20"/>
      <c r="I44" s="20"/>
      <c r="J44" s="20"/>
      <c r="K44" s="20"/>
      <c r="L44" s="20"/>
      <c r="M44" s="20"/>
      <c r="N44" s="20"/>
      <c r="O44" s="20"/>
      <c r="P44" s="20"/>
      <c r="Q44" s="20"/>
      <c r="R44" s="20"/>
      <c r="S44" s="20"/>
    </row>
    <row r="45" spans="1:19" x14ac:dyDescent="0.35">
      <c r="A45" s="20"/>
      <c r="B45" s="23" t="s">
        <v>89</v>
      </c>
      <c r="C45" s="75" t="s">
        <v>191</v>
      </c>
      <c r="D45" s="12" cm="1">
        <f t="array" ref="D45:D47">_xlfn.ANCHORARRAY(D50)+_xlfn.ANCHORARRAY(D55)+_xlfn.ANCHORARRAY(D60)</f>
        <v>0</v>
      </c>
      <c r="E45" s="66" cm="1">
        <f t="array" ref="E45:E47">_xlfn.ANCHORARRAY(E50)+_xlfn.ANCHORARRAY(E55)+_xlfn.ANCHORARRAY(E60)</f>
        <v>0</v>
      </c>
      <c r="F45" s="66"/>
      <c r="G45" s="20"/>
      <c r="H45" s="20"/>
      <c r="I45" s="20"/>
      <c r="J45" s="20"/>
      <c r="K45" s="20"/>
      <c r="L45" s="20"/>
      <c r="M45" s="20"/>
      <c r="N45" s="20"/>
      <c r="O45" s="20"/>
      <c r="P45" s="20"/>
      <c r="Q45" s="20"/>
      <c r="R45" s="20"/>
      <c r="S45" s="20"/>
    </row>
    <row r="46" spans="1:19" x14ac:dyDescent="0.35">
      <c r="A46" s="20"/>
      <c r="B46" s="23" t="s">
        <v>88</v>
      </c>
      <c r="C46" s="76" t="s">
        <v>193</v>
      </c>
      <c r="D46" s="13">
        <v>0</v>
      </c>
      <c r="E46" s="67">
        <v>0</v>
      </c>
      <c r="F46" s="67"/>
      <c r="G46" s="20"/>
      <c r="H46" s="20"/>
      <c r="I46" s="20"/>
      <c r="J46" s="20"/>
      <c r="K46" s="20"/>
      <c r="L46" s="20"/>
      <c r="M46" s="20"/>
      <c r="N46" s="20"/>
      <c r="O46" s="20"/>
      <c r="P46" s="20"/>
      <c r="Q46" s="20"/>
      <c r="R46" s="20"/>
      <c r="S46" s="20"/>
    </row>
    <row r="47" spans="1:19" x14ac:dyDescent="0.35">
      <c r="A47" s="20"/>
      <c r="B47" s="23" t="s">
        <v>87</v>
      </c>
      <c r="C47" s="77" t="s">
        <v>195</v>
      </c>
      <c r="D47" s="14">
        <v>0</v>
      </c>
      <c r="E47" s="68">
        <v>0</v>
      </c>
      <c r="F47" s="68"/>
      <c r="G47" s="20"/>
      <c r="H47" s="20"/>
      <c r="I47" s="20"/>
      <c r="J47" s="20"/>
      <c r="K47" s="20"/>
      <c r="L47" s="20"/>
      <c r="M47" s="20"/>
      <c r="N47" s="20"/>
      <c r="O47" s="20"/>
      <c r="P47" s="20"/>
      <c r="Q47" s="20"/>
      <c r="R47" s="20"/>
      <c r="S47" s="20"/>
    </row>
    <row r="48" spans="1:19" x14ac:dyDescent="0.35">
      <c r="A48" s="20"/>
      <c r="B48" s="15"/>
      <c r="C48" s="78"/>
      <c r="D48" s="15"/>
      <c r="E48" s="69"/>
      <c r="F48" s="69"/>
      <c r="G48" s="20"/>
      <c r="H48" s="20"/>
      <c r="I48" s="20"/>
      <c r="J48" s="20"/>
      <c r="K48" s="20"/>
      <c r="L48" s="20"/>
      <c r="M48" s="20"/>
      <c r="N48" s="20"/>
      <c r="O48" s="20"/>
      <c r="P48" s="20"/>
      <c r="Q48" s="20"/>
      <c r="R48" s="20"/>
      <c r="S48" s="20"/>
    </row>
    <row r="49" spans="1:19" x14ac:dyDescent="0.35">
      <c r="A49" s="20"/>
      <c r="B49" s="15"/>
      <c r="C49" s="79" t="s">
        <v>81</v>
      </c>
      <c r="D49" s="16" t="s">
        <v>79</v>
      </c>
      <c r="E49" s="70" t="s">
        <v>80</v>
      </c>
      <c r="F49" s="70"/>
      <c r="G49" s="20"/>
      <c r="H49" s="20"/>
      <c r="I49" s="20"/>
      <c r="J49" s="20"/>
      <c r="K49" s="20"/>
      <c r="L49" s="20"/>
      <c r="M49" s="20"/>
      <c r="N49" s="20"/>
      <c r="O49" s="20"/>
      <c r="P49" s="20"/>
      <c r="Q49" s="20"/>
      <c r="R49" s="20"/>
      <c r="S49" s="20"/>
    </row>
    <row r="50" spans="1:19" x14ac:dyDescent="0.35">
      <c r="A50" s="20"/>
      <c r="B50" s="15"/>
      <c r="C50" s="75" t="s">
        <v>191</v>
      </c>
      <c r="D50" s="12" cm="1">
        <f t="array" ref="D50:D52">COUNTIFS(D$7:D$42,$B$45:$B$47,EnterData_8[Component],"FD")</f>
        <v>0</v>
      </c>
      <c r="E50" s="66" cm="1">
        <f t="array" ref="E50:E52">COUNTIFS(D$7:D$42,$B$45:$B$47,EnterData_8[Component],"FD",E$7:E$42,"Y")</f>
        <v>0</v>
      </c>
      <c r="F50" s="66"/>
      <c r="G50" s="20"/>
      <c r="H50" s="20"/>
      <c r="I50" s="20"/>
      <c r="J50" s="20"/>
      <c r="K50" s="20"/>
      <c r="L50" s="20"/>
      <c r="M50" s="20"/>
      <c r="N50" s="20"/>
      <c r="O50" s="20"/>
      <c r="P50" s="20"/>
      <c r="Q50" s="20"/>
      <c r="R50" s="20"/>
      <c r="S50" s="20"/>
    </row>
    <row r="51" spans="1:19" x14ac:dyDescent="0.35">
      <c r="A51" s="20"/>
      <c r="B51" s="15"/>
      <c r="C51" s="76" t="s">
        <v>193</v>
      </c>
      <c r="D51" s="13">
        <v>0</v>
      </c>
      <c r="E51" s="67">
        <v>0</v>
      </c>
      <c r="F51" s="67"/>
      <c r="G51" s="20"/>
      <c r="H51" s="20"/>
      <c r="I51" s="20"/>
      <c r="J51" s="20"/>
      <c r="K51" s="20"/>
      <c r="L51" s="20"/>
      <c r="M51" s="20"/>
      <c r="N51" s="20"/>
      <c r="O51" s="20"/>
      <c r="P51" s="20"/>
      <c r="Q51" s="20"/>
      <c r="R51" s="20"/>
      <c r="S51" s="20"/>
    </row>
    <row r="52" spans="1:19" x14ac:dyDescent="0.35">
      <c r="A52" s="20"/>
      <c r="B52" s="15"/>
      <c r="C52" s="77" t="s">
        <v>195</v>
      </c>
      <c r="D52" s="14">
        <v>0</v>
      </c>
      <c r="E52" s="68">
        <v>0</v>
      </c>
      <c r="F52" s="68"/>
      <c r="G52" s="20"/>
      <c r="H52" s="20"/>
      <c r="I52" s="20"/>
      <c r="J52" s="20"/>
      <c r="K52" s="20"/>
      <c r="L52" s="20"/>
      <c r="M52" s="20"/>
      <c r="N52" s="20"/>
      <c r="O52" s="20"/>
      <c r="P52" s="20"/>
      <c r="Q52" s="20"/>
      <c r="R52" s="20"/>
      <c r="S52" s="20"/>
    </row>
    <row r="53" spans="1:19" x14ac:dyDescent="0.35">
      <c r="A53" s="20"/>
      <c r="B53" s="15"/>
      <c r="C53" s="78"/>
      <c r="D53" s="15"/>
      <c r="E53" s="69"/>
      <c r="F53" s="69"/>
      <c r="G53" s="20"/>
      <c r="H53" s="20"/>
      <c r="I53" s="20"/>
      <c r="J53" s="20"/>
      <c r="K53" s="20"/>
      <c r="L53" s="20"/>
      <c r="M53" s="20"/>
      <c r="N53" s="20"/>
      <c r="O53" s="20"/>
      <c r="P53" s="20"/>
      <c r="Q53" s="20"/>
      <c r="R53" s="20"/>
      <c r="S53" s="20"/>
    </row>
    <row r="54" spans="1:19" x14ac:dyDescent="0.35">
      <c r="A54" s="20"/>
      <c r="B54" s="15"/>
      <c r="C54" s="80" t="s">
        <v>82</v>
      </c>
      <c r="D54" s="17" t="s">
        <v>79</v>
      </c>
      <c r="E54" s="71" t="s">
        <v>80</v>
      </c>
      <c r="F54" s="71"/>
      <c r="G54" s="20"/>
      <c r="H54" s="20"/>
      <c r="I54" s="20"/>
      <c r="J54" s="20"/>
      <c r="K54" s="20"/>
      <c r="L54" s="20"/>
      <c r="M54" s="20"/>
      <c r="N54" s="20"/>
      <c r="O54" s="20"/>
      <c r="P54" s="20"/>
      <c r="Q54" s="20"/>
      <c r="R54" s="20"/>
      <c r="S54" s="20"/>
    </row>
    <row r="55" spans="1:19" x14ac:dyDescent="0.35">
      <c r="A55" s="20"/>
      <c r="B55" s="15"/>
      <c r="C55" s="75" t="s">
        <v>191</v>
      </c>
      <c r="D55" s="12" cm="1">
        <f t="array" ref="D55:D57">COUNTIFS(D$7:D$42,$B$45:$B$47,EnterData_8[Component],"IN")</f>
        <v>0</v>
      </c>
      <c r="E55" s="66" cm="1">
        <f t="array" ref="E55:E57">COUNTIFS(D$7:D$42,$B$45:$B$47,EnterData_8[Component],"IN",E$7:E$42,"Y")</f>
        <v>0</v>
      </c>
      <c r="F55" s="66"/>
      <c r="G55" s="20"/>
      <c r="H55" s="20"/>
      <c r="I55" s="20"/>
      <c r="J55" s="20"/>
      <c r="K55" s="20"/>
      <c r="L55" s="20"/>
      <c r="M55" s="20"/>
      <c r="N55" s="20"/>
      <c r="O55" s="20"/>
      <c r="P55" s="20"/>
      <c r="Q55" s="20"/>
      <c r="R55" s="20"/>
      <c r="S55" s="20"/>
    </row>
    <row r="56" spans="1:19" x14ac:dyDescent="0.35">
      <c r="A56" s="20"/>
      <c r="B56" s="15"/>
      <c r="C56" s="76" t="s">
        <v>193</v>
      </c>
      <c r="D56" s="13">
        <v>0</v>
      </c>
      <c r="E56" s="67">
        <v>0</v>
      </c>
      <c r="F56" s="67"/>
      <c r="G56" s="20"/>
      <c r="H56" s="20"/>
      <c r="I56" s="20"/>
      <c r="J56" s="20"/>
      <c r="K56" s="20"/>
      <c r="L56" s="20"/>
      <c r="M56" s="20"/>
      <c r="N56" s="20"/>
      <c r="O56" s="20"/>
      <c r="P56" s="20"/>
      <c r="Q56" s="20"/>
      <c r="R56" s="20"/>
      <c r="S56" s="20"/>
    </row>
    <row r="57" spans="1:19" x14ac:dyDescent="0.35">
      <c r="A57" s="20"/>
      <c r="B57" s="15"/>
      <c r="C57" s="77" t="s">
        <v>195</v>
      </c>
      <c r="D57" s="14">
        <v>0</v>
      </c>
      <c r="E57" s="68">
        <v>0</v>
      </c>
      <c r="F57" s="68"/>
      <c r="G57" s="20"/>
      <c r="H57" s="20"/>
      <c r="I57" s="20"/>
      <c r="J57" s="20"/>
      <c r="K57" s="20"/>
      <c r="L57" s="20"/>
      <c r="M57" s="20"/>
      <c r="N57" s="20"/>
      <c r="O57" s="20"/>
      <c r="P57" s="20"/>
      <c r="Q57" s="20"/>
      <c r="R57" s="20"/>
      <c r="S57" s="20"/>
    </row>
    <row r="58" spans="1:19" x14ac:dyDescent="0.35">
      <c r="A58" s="20"/>
      <c r="B58" s="15"/>
      <c r="C58" s="78"/>
      <c r="D58" s="15"/>
      <c r="E58" s="69"/>
      <c r="F58" s="69"/>
      <c r="G58" s="20"/>
      <c r="H58" s="20"/>
      <c r="I58" s="20"/>
      <c r="J58" s="20"/>
      <c r="K58" s="20"/>
      <c r="L58" s="20"/>
      <c r="M58" s="20"/>
      <c r="N58" s="20"/>
      <c r="O58" s="20"/>
      <c r="P58" s="20"/>
      <c r="Q58" s="20"/>
      <c r="R58" s="20"/>
      <c r="S58" s="20"/>
    </row>
    <row r="59" spans="1:19" x14ac:dyDescent="0.35">
      <c r="A59" s="20"/>
      <c r="B59" s="15"/>
      <c r="C59" s="81" t="s">
        <v>83</v>
      </c>
      <c r="D59" s="18" t="s">
        <v>79</v>
      </c>
      <c r="E59" s="72" t="s">
        <v>80</v>
      </c>
      <c r="F59" s="72"/>
      <c r="G59" s="20"/>
      <c r="H59" s="20"/>
      <c r="I59" s="20"/>
      <c r="J59" s="20"/>
      <c r="K59" s="20"/>
      <c r="L59" s="20"/>
      <c r="M59" s="20"/>
      <c r="N59" s="20"/>
      <c r="O59" s="20"/>
      <c r="P59" s="20"/>
      <c r="Q59" s="20"/>
      <c r="R59" s="20"/>
      <c r="S59" s="20"/>
    </row>
    <row r="60" spans="1:19" x14ac:dyDescent="0.35">
      <c r="A60" s="20"/>
      <c r="B60" s="15"/>
      <c r="C60" s="75" t="s">
        <v>191</v>
      </c>
      <c r="D60" s="19" cm="1">
        <f t="array" ref="D60:D62">COUNTIFS(D$7:D$42,$B$45:$B$47,EnterData_8[Component],"DC")</f>
        <v>0</v>
      </c>
      <c r="E60" s="73" cm="1">
        <f t="array" ref="E60:E62">COUNTIFS(D$7:D$42,$B$45:$B$47,EnterData_8[Component],"DC",E$7:E$42,"Y")</f>
        <v>0</v>
      </c>
      <c r="F60" s="73"/>
      <c r="G60" s="20"/>
      <c r="H60" s="20"/>
      <c r="I60" s="20"/>
      <c r="J60" s="20"/>
      <c r="K60" s="20"/>
      <c r="L60" s="20"/>
      <c r="M60" s="20"/>
      <c r="N60" s="20"/>
      <c r="O60" s="20"/>
      <c r="P60" s="20"/>
      <c r="Q60" s="20"/>
      <c r="R60" s="20"/>
      <c r="S60" s="20"/>
    </row>
    <row r="61" spans="1:19" x14ac:dyDescent="0.35">
      <c r="A61" s="20"/>
      <c r="B61" s="15"/>
      <c r="C61" s="76" t="s">
        <v>193</v>
      </c>
      <c r="D61" s="13">
        <v>0</v>
      </c>
      <c r="E61" s="67">
        <v>0</v>
      </c>
      <c r="F61" s="67"/>
      <c r="G61" s="20"/>
      <c r="H61" s="20"/>
      <c r="I61" s="20"/>
      <c r="J61" s="20"/>
      <c r="K61" s="20"/>
      <c r="L61" s="20"/>
      <c r="M61" s="20"/>
      <c r="N61" s="20"/>
      <c r="O61" s="20"/>
      <c r="P61" s="20"/>
      <c r="Q61" s="20"/>
      <c r="R61" s="20"/>
      <c r="S61" s="20"/>
    </row>
    <row r="62" spans="1:19" x14ac:dyDescent="0.35">
      <c r="A62" s="20"/>
      <c r="B62" s="15"/>
      <c r="C62" s="77" t="s">
        <v>195</v>
      </c>
      <c r="D62" s="14">
        <v>0</v>
      </c>
      <c r="E62" s="68">
        <v>0</v>
      </c>
      <c r="F62" s="68"/>
      <c r="G62" s="20"/>
      <c r="H62" s="20"/>
      <c r="I62" s="20"/>
      <c r="J62" s="20"/>
      <c r="K62" s="20"/>
      <c r="L62" s="20"/>
      <c r="M62" s="20"/>
      <c r="N62" s="20"/>
      <c r="O62" s="20"/>
      <c r="P62" s="20"/>
      <c r="Q62" s="20"/>
      <c r="R62" s="20"/>
      <c r="S62" s="20"/>
    </row>
    <row r="63" spans="1:19" x14ac:dyDescent="0.35">
      <c r="A63" s="283" t="s">
        <v>150</v>
      </c>
      <c r="B63" s="20"/>
      <c r="C63" s="20"/>
      <c r="D63" s="20"/>
      <c r="E63" s="20"/>
      <c r="F63" s="20"/>
      <c r="G63" s="20"/>
      <c r="H63" s="20"/>
      <c r="I63" s="20"/>
      <c r="J63" s="20"/>
      <c r="K63" s="20"/>
      <c r="L63" s="20"/>
      <c r="M63" s="20"/>
      <c r="N63" s="20"/>
      <c r="O63" s="20"/>
      <c r="P63" s="20"/>
      <c r="Q63" s="20"/>
      <c r="R63" s="20"/>
      <c r="S63" s="20"/>
    </row>
    <row r="64" spans="1:19" x14ac:dyDescent="0.35">
      <c r="A64" s="20"/>
      <c r="B64" s="20"/>
      <c r="C64" s="20"/>
      <c r="D64" s="20"/>
      <c r="E64" s="20"/>
      <c r="F64" s="20"/>
      <c r="G64" s="20"/>
      <c r="H64" s="20"/>
      <c r="I64" s="20"/>
      <c r="J64" s="20"/>
      <c r="K64" s="20"/>
    </row>
    <row r="65" spans="1:11" x14ac:dyDescent="0.35">
      <c r="A65" s="20"/>
      <c r="B65" s="20"/>
      <c r="C65" s="20"/>
      <c r="D65" s="20"/>
      <c r="E65" s="20"/>
      <c r="F65" s="20"/>
      <c r="G65" s="20"/>
      <c r="H65" s="20"/>
      <c r="I65" s="20"/>
      <c r="J65" s="20"/>
      <c r="K65" s="20"/>
    </row>
    <row r="66" spans="1:11" x14ac:dyDescent="0.35">
      <c r="A66" s="20"/>
      <c r="B66" s="20"/>
      <c r="C66" s="20"/>
      <c r="D66" s="20"/>
      <c r="E66" s="20"/>
      <c r="F66" s="20"/>
      <c r="G66" s="20"/>
      <c r="H66" s="20"/>
      <c r="I66" s="20"/>
      <c r="J66" s="20"/>
      <c r="K66" s="20"/>
    </row>
  </sheetData>
  <sheetProtection sheet="1" formatCells="0" formatColumns="0" formatRows="0"/>
  <conditionalFormatting sqref="F7:F42">
    <cfRule type="expression" dxfId="51" priority="2">
      <formula>OR(D7="Min comp",D7="Comp")</formula>
    </cfRule>
  </conditionalFormatting>
  <conditionalFormatting sqref="J7:J42">
    <cfRule type="expression" dxfId="50" priority="4">
      <formula>$J7&lt;&gt;""</formula>
    </cfRule>
    <cfRule type="expression" dxfId="49" priority="8">
      <formula>LEFT($J7)="F"</formula>
    </cfRule>
    <cfRule type="expression" dxfId="48" priority="9">
      <formula>LEFT($J7)="I"</formula>
    </cfRule>
    <cfRule type="expression" dxfId="47" priority="17">
      <formula>LEFT($J7)="D"</formula>
    </cfRule>
  </conditionalFormatting>
  <conditionalFormatting sqref="J7:O42">
    <cfRule type="expression" dxfId="46" priority="5">
      <formula>AND($J7&lt;&gt;"",$J8="")</formula>
    </cfRule>
    <cfRule type="expression" dxfId="45" priority="6">
      <formula>$J7&lt;&gt;""</formula>
    </cfRule>
  </conditionalFormatting>
  <conditionalFormatting sqref="L7:O42">
    <cfRule type="expression" dxfId="44" priority="7">
      <formula>$J7&lt;&gt;""</formula>
    </cfRule>
  </conditionalFormatting>
  <conditionalFormatting sqref="O7:O42">
    <cfRule type="expression" dxfId="43" priority="3">
      <formula>$J7&lt;&gt;""</formula>
    </cfRule>
  </conditionalFormatting>
  <dataValidations count="4">
    <dataValidation type="list" allowBlank="1" showInputMessage="1" showErrorMessage="1" sqref="L7:L42" xr:uid="{576B69B5-042E-4188-A384-893B96E5EED2}">
      <formula1>"yes,no"</formula1>
    </dataValidation>
    <dataValidation type="list" allowBlank="1" showInputMessage="1" showErrorMessage="1" sqref="D7:D42" xr:uid="{43424E66-4230-4DB6-9E3F-2EC975EB94DE}">
      <formula1>"Min comp, Comp, Hi comp"</formula1>
    </dataValidation>
    <dataValidation type="list" allowBlank="1" showInputMessage="1" showErrorMessage="1" sqref="F7:F42" xr:uid="{AFE1CBD0-CD13-4DC3-8D97-0924461D431B}">
      <formula1>"Y,N"</formula1>
    </dataValidation>
    <dataValidation type="list" allowBlank="1" showInputMessage="1" showErrorMessage="1" sqref="E7:E42" xr:uid="{D8F8266A-BF31-4399-BA06-7D289D988E6B}">
      <formula1>"Y,N,?"</formula1>
    </dataValidation>
  </dataValidations>
  <pageMargins left="0.7" right="0.7" top="0.75" bottom="0.75" header="0.3" footer="0.3"/>
  <pageSetup scale="61" fitToHeight="0" orientation="landscape" horizontalDpi="4294967293" verticalDpi="0" r:id="rId1"/>
  <headerFooter>
    <oddHeader>&amp;LLearning Plan 8&amp;RPrinted on: &amp;D</oddHeader>
    <oddFooter>&amp;CPage &amp;P of &amp;N</oddFooter>
  </headerFooter>
  <legacyDrawing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BC0CA4F8-1530-4C25-BCD3-4E6E300BDBBA}">
            <xm:f>OR('SA1'!$G$3="",$G$4="")</xm:f>
            <x14:dxf>
              <font>
                <color theme="0"/>
              </font>
              <fill>
                <patternFill>
                  <bgColor theme="0"/>
                </patternFill>
              </fill>
              <border>
                <left style="thin">
                  <color theme="0"/>
                </left>
                <right style="thin">
                  <color theme="0"/>
                </right>
                <top style="thin">
                  <color theme="0"/>
                </top>
                <bottom style="thin">
                  <color theme="0"/>
                </bottom>
                <vertical/>
                <horizontal/>
              </border>
            </x14:dxf>
          </x14:cfRule>
          <xm:sqref>A5:O42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AFEF9-032D-4E8E-A256-54F3C3946528}">
  <sheetPr>
    <tabColor rgb="FFFFFF99"/>
  </sheetPr>
  <dimension ref="A1:R44"/>
  <sheetViews>
    <sheetView showGridLines="0" zoomScaleNormal="100" workbookViewId="0"/>
  </sheetViews>
  <sheetFormatPr defaultRowHeight="14.5" zeroHeight="1" x14ac:dyDescent="0.35"/>
  <cols>
    <col min="1" max="1" width="54.81640625" customWidth="1"/>
    <col min="2" max="2" width="8.453125" customWidth="1"/>
    <col min="3" max="9" width="8.90625" customWidth="1"/>
    <col min="10" max="10" width="3.26953125" customWidth="1"/>
    <col min="11" max="17" width="8.90625" customWidth="1"/>
    <col min="18" max="18" width="8.90625" style="127" customWidth="1"/>
    <col min="19" max="26" width="8.90625" customWidth="1"/>
  </cols>
  <sheetData>
    <row r="1" spans="1:18" s="270" customFormat="1" ht="10.5" x14ac:dyDescent="0.25">
      <c r="A1" s="271" t="s">
        <v>270</v>
      </c>
      <c r="B1" s="272"/>
      <c r="C1" s="272"/>
      <c r="K1" s="272"/>
      <c r="N1" s="273"/>
      <c r="R1" s="375"/>
    </row>
    <row r="2" spans="1:18" ht="19" thickBot="1" x14ac:dyDescent="0.5">
      <c r="A2" s="266" t="s">
        <v>174</v>
      </c>
      <c r="B2" s="267"/>
      <c r="C2" s="267"/>
      <c r="D2" s="267"/>
      <c r="E2" s="267"/>
      <c r="F2" s="267"/>
      <c r="G2" s="267"/>
      <c r="H2" s="267"/>
      <c r="I2" s="267"/>
      <c r="K2" s="266" t="s">
        <v>129</v>
      </c>
      <c r="L2" s="267"/>
      <c r="M2" s="267"/>
      <c r="N2" s="267"/>
      <c r="O2" s="267"/>
      <c r="P2" s="267"/>
      <c r="Q2" s="267"/>
      <c r="R2" s="376"/>
    </row>
    <row r="3" spans="1:18" x14ac:dyDescent="0.35">
      <c r="A3" s="278" t="s">
        <v>128</v>
      </c>
      <c r="K3" s="277" t="s">
        <v>269</v>
      </c>
    </row>
    <row r="4" spans="1:18" ht="16" x14ac:dyDescent="0.35">
      <c r="A4" s="265" t="s">
        <v>79</v>
      </c>
      <c r="K4" s="277"/>
    </row>
    <row r="5" spans="1:18" s="268" customFormat="1" ht="6.5" x14ac:dyDescent="0.15">
      <c r="R5" s="377"/>
    </row>
    <row r="6" spans="1:18" x14ac:dyDescent="0.35">
      <c r="A6" s="391" t="str">
        <f>"Summary of "&amp;calc!$B$51&amp;" Ratings"&amp;" Entered Across All Self-Assessments"</f>
        <v>Summary of All Ratings Entered Across All Self-Assessments</v>
      </c>
      <c r="K6" s="393" t="s">
        <v>129</v>
      </c>
      <c r="L6" s="394"/>
      <c r="M6" s="394"/>
      <c r="N6" s="394"/>
      <c r="O6" s="394"/>
      <c r="P6" s="394"/>
      <c r="Q6" s="394"/>
      <c r="R6" s="395"/>
    </row>
    <row r="7" spans="1:18" x14ac:dyDescent="0.35">
      <c r="A7" s="258" t="s">
        <v>78</v>
      </c>
      <c r="B7" s="126" t="str" cm="1">
        <f t="array" ref="B7:D10">_xlfn._xlws.FILTER(calc!$B$52:$I$55,calc!$B$4:$I$4=1,"")</f>
        <v>SA1</v>
      </c>
      <c r="C7" s="126" t="str">
        <v>SA2</v>
      </c>
      <c r="D7" s="126" t="str">
        <v>SA3</v>
      </c>
      <c r="E7" s="126"/>
      <c r="F7" s="126"/>
      <c r="G7" s="126"/>
      <c r="H7" s="126"/>
      <c r="I7" s="126"/>
      <c r="K7" s="392" t="str" cm="1">
        <f t="array" ref="K7:M7">_xlfn.TAKE(_xlfn.ANCHORARRAY(B7),1)</f>
        <v>SA1</v>
      </c>
      <c r="L7" s="126" t="str">
        <v>SA2</v>
      </c>
      <c r="M7" s="126" t="str">
        <v>SA3</v>
      </c>
      <c r="N7" s="126"/>
      <c r="O7" s="126"/>
      <c r="P7" s="126"/>
      <c r="Q7" s="126"/>
      <c r="R7" s="126"/>
    </row>
    <row r="8" spans="1:18" x14ac:dyDescent="0.35">
      <c r="A8" s="259" t="s">
        <v>192</v>
      </c>
      <c r="B8" s="38">
        <v>8</v>
      </c>
      <c r="C8" s="38">
        <v>2</v>
      </c>
      <c r="D8" s="38">
        <v>2</v>
      </c>
      <c r="E8" s="38"/>
      <c r="F8" s="38"/>
      <c r="G8" s="38"/>
      <c r="H8" s="38"/>
      <c r="I8" s="38"/>
      <c r="K8" s="127" t="str" cm="1">
        <f t="array" ref="K8:M43">""&amp;_xlfn._xlws.FILTER(calc!$B$13:$I$48,calc!$B$4:$I$4=1,"")</f>
        <v>FD-3</v>
      </c>
      <c r="L8" s="38" t="str">
        <v>FD-3</v>
      </c>
      <c r="M8" s="127" t="str">
        <v>FD-5</v>
      </c>
      <c r="N8" s="127"/>
      <c r="O8" s="127"/>
      <c r="P8" s="127"/>
      <c r="Q8" s="127"/>
    </row>
    <row r="9" spans="1:18" x14ac:dyDescent="0.35">
      <c r="A9" s="260" t="s">
        <v>194</v>
      </c>
      <c r="B9" s="38">
        <v>17</v>
      </c>
      <c r="C9" s="38">
        <v>21</v>
      </c>
      <c r="D9" s="38">
        <v>16</v>
      </c>
      <c r="E9" s="38"/>
      <c r="F9" s="38"/>
      <c r="G9" s="38"/>
      <c r="H9" s="38"/>
      <c r="I9" s="38"/>
      <c r="K9" s="127" t="str">
        <v>FD-5</v>
      </c>
      <c r="L9" s="127" t="str">
        <v>FD-5</v>
      </c>
      <c r="M9" s="127" t="str">
        <v>FD-6</v>
      </c>
      <c r="N9" s="127"/>
      <c r="O9" s="127"/>
      <c r="P9" s="127"/>
      <c r="Q9" s="127"/>
    </row>
    <row r="10" spans="1:18" x14ac:dyDescent="0.35">
      <c r="A10" s="261" t="s">
        <v>196</v>
      </c>
      <c r="B10" s="38">
        <v>11</v>
      </c>
      <c r="C10" s="38">
        <v>13</v>
      </c>
      <c r="D10" s="38">
        <v>18</v>
      </c>
      <c r="E10" s="38"/>
      <c r="F10" s="38"/>
      <c r="G10" s="38"/>
      <c r="H10" s="38"/>
      <c r="I10" s="38"/>
      <c r="K10" s="127" t="str">
        <v>FD-6</v>
      </c>
      <c r="L10" s="127" t="str">
        <v>FD-6</v>
      </c>
      <c r="M10" s="127" t="str">
        <v>FD-7</v>
      </c>
      <c r="N10" s="127"/>
      <c r="O10" s="127"/>
      <c r="P10" s="127"/>
      <c r="Q10" s="127"/>
    </row>
    <row r="11" spans="1:18" x14ac:dyDescent="0.35">
      <c r="A11" s="257"/>
      <c r="B11" s="38"/>
      <c r="C11" s="38"/>
      <c r="D11" s="38"/>
      <c r="E11" s="38"/>
      <c r="F11" s="38"/>
      <c r="G11" s="38"/>
      <c r="H11" s="38"/>
      <c r="I11" s="38"/>
      <c r="K11" s="127" t="str">
        <v>FD-7</v>
      </c>
      <c r="L11" s="127" t="str">
        <v>FD-7</v>
      </c>
      <c r="M11" s="127" t="str">
        <v>FD-9</v>
      </c>
      <c r="N11" s="127"/>
      <c r="O11" s="127"/>
      <c r="P11" s="127"/>
      <c r="Q11" s="127"/>
    </row>
    <row r="12" spans="1:18" x14ac:dyDescent="0.35">
      <c r="A12" s="262" t="s">
        <v>81</v>
      </c>
      <c r="B12" s="126" t="str" cm="1">
        <f t="array" ref="B12:D15">_xlfn._xlws.FILTER(calc!$B$57:$I$60,calc!$B$4:$I$4=1,"")</f>
        <v>SA1</v>
      </c>
      <c r="C12" s="256" t="str">
        <v>SA2</v>
      </c>
      <c r="D12" s="256" t="str">
        <v>SA3</v>
      </c>
      <c r="E12" s="256"/>
      <c r="F12" s="256"/>
      <c r="G12" s="256"/>
      <c r="H12" s="256"/>
      <c r="I12" s="256"/>
      <c r="K12" s="127" t="str">
        <v>FD-10</v>
      </c>
      <c r="L12" s="127" t="str">
        <v>FD-10</v>
      </c>
      <c r="M12" s="127" t="str">
        <v>IN-11</v>
      </c>
      <c r="N12" s="127"/>
      <c r="O12" s="127"/>
      <c r="P12" s="127"/>
      <c r="Q12" s="127"/>
    </row>
    <row r="13" spans="1:18" x14ac:dyDescent="0.35">
      <c r="A13" s="259" t="s">
        <v>192</v>
      </c>
      <c r="B13" s="38">
        <v>3</v>
      </c>
      <c r="C13" s="38">
        <v>0</v>
      </c>
      <c r="D13" s="38">
        <v>0</v>
      </c>
      <c r="E13" s="38"/>
      <c r="F13" s="38"/>
      <c r="G13" s="38"/>
      <c r="H13" s="38"/>
      <c r="I13" s="38"/>
      <c r="K13" s="127" t="str">
        <v>IN-5</v>
      </c>
      <c r="L13" s="127" t="str">
        <v>IN-5</v>
      </c>
      <c r="M13" s="127" t="str">
        <v>IN-12</v>
      </c>
      <c r="N13" s="127"/>
      <c r="O13" s="127"/>
      <c r="P13" s="127"/>
      <c r="Q13" s="127"/>
    </row>
    <row r="14" spans="1:18" x14ac:dyDescent="0.35">
      <c r="A14" s="260" t="s">
        <v>194</v>
      </c>
      <c r="B14" s="38">
        <v>4</v>
      </c>
      <c r="C14" s="38">
        <v>7</v>
      </c>
      <c r="D14" s="38">
        <v>5</v>
      </c>
      <c r="E14" s="38"/>
      <c r="F14" s="38"/>
      <c r="G14" s="38"/>
      <c r="H14" s="38"/>
      <c r="I14" s="38"/>
      <c r="K14" s="127" t="str">
        <v>IN-7</v>
      </c>
      <c r="L14" s="127" t="str">
        <v>IN-7</v>
      </c>
      <c r="M14" s="127" t="str">
        <v>DC-5</v>
      </c>
      <c r="N14" s="127"/>
      <c r="O14" s="127"/>
      <c r="P14" s="127"/>
      <c r="Q14" s="127"/>
    </row>
    <row r="15" spans="1:18" x14ac:dyDescent="0.35">
      <c r="A15" s="261" t="s">
        <v>196</v>
      </c>
      <c r="B15" s="38">
        <v>3</v>
      </c>
      <c r="C15" s="38">
        <v>3</v>
      </c>
      <c r="D15" s="38">
        <v>5</v>
      </c>
      <c r="E15" s="38"/>
      <c r="F15" s="38"/>
      <c r="G15" s="38"/>
      <c r="H15" s="38"/>
      <c r="I15" s="38"/>
      <c r="K15" s="127" t="str">
        <v>IN-10</v>
      </c>
      <c r="L15" s="127" t="str">
        <v>IN-11</v>
      </c>
      <c r="M15" s="127" t="str">
        <v>DC-6</v>
      </c>
      <c r="N15" s="127"/>
      <c r="O15" s="127"/>
      <c r="P15" s="127"/>
      <c r="Q15" s="127"/>
    </row>
    <row r="16" spans="1:18" x14ac:dyDescent="0.35">
      <c r="A16" s="257"/>
      <c r="B16" s="38"/>
      <c r="C16" s="38"/>
      <c r="D16" s="38"/>
      <c r="E16" s="38"/>
      <c r="F16" s="38"/>
      <c r="G16" s="38"/>
      <c r="H16" s="38"/>
      <c r="I16" s="38"/>
      <c r="K16" s="127" t="str">
        <v>IN-11</v>
      </c>
      <c r="L16" s="127" t="str">
        <v>IN-12</v>
      </c>
      <c r="M16" s="127" t="str">
        <v>DC-7</v>
      </c>
      <c r="N16" s="127"/>
      <c r="O16" s="127"/>
      <c r="P16" s="127"/>
      <c r="Q16" s="127"/>
    </row>
    <row r="17" spans="1:17" x14ac:dyDescent="0.35">
      <c r="A17" s="263" t="s">
        <v>82</v>
      </c>
      <c r="B17" s="126" t="str" cm="1">
        <f t="array" ref="B17:D20">_xlfn._xlws.FILTER(calc!$B$62:$I$65,calc!$B$4:$I$4=1,"")</f>
        <v>SA1</v>
      </c>
      <c r="C17" s="256" t="str">
        <v>SA2</v>
      </c>
      <c r="D17" s="256" t="str">
        <v>SA3</v>
      </c>
      <c r="E17" s="256"/>
      <c r="F17" s="256"/>
      <c r="G17" s="256"/>
      <c r="H17" s="256"/>
      <c r="I17" s="256"/>
      <c r="K17" s="127" t="str">
        <v>IN-12</v>
      </c>
      <c r="L17" s="127" t="str">
        <v>DC-4</v>
      </c>
      <c r="M17" s="127" t="str">
        <v>DC-10</v>
      </c>
      <c r="N17" s="127"/>
      <c r="O17" s="127"/>
      <c r="P17" s="127"/>
      <c r="Q17" s="127"/>
    </row>
    <row r="18" spans="1:17" x14ac:dyDescent="0.35">
      <c r="A18" s="259" t="s">
        <v>192</v>
      </c>
      <c r="B18" s="38">
        <v>3</v>
      </c>
      <c r="C18" s="38">
        <v>1</v>
      </c>
      <c r="D18" s="38">
        <v>1</v>
      </c>
      <c r="E18" s="38"/>
      <c r="F18" s="38"/>
      <c r="G18" s="38"/>
      <c r="H18" s="38"/>
      <c r="I18" s="38"/>
      <c r="K18" s="127" t="str">
        <v>DC-3</v>
      </c>
      <c r="L18" s="127" t="str">
        <v>DC-5</v>
      </c>
      <c r="M18" s="127" t="str">
        <v>DC-12</v>
      </c>
      <c r="N18" s="127"/>
      <c r="O18" s="127"/>
      <c r="P18" s="127"/>
      <c r="Q18" s="127"/>
    </row>
    <row r="19" spans="1:17" x14ac:dyDescent="0.35">
      <c r="A19" s="260" t="s">
        <v>194</v>
      </c>
      <c r="B19" s="38">
        <v>4</v>
      </c>
      <c r="C19" s="38">
        <v>5</v>
      </c>
      <c r="D19" s="38">
        <v>3</v>
      </c>
      <c r="E19" s="38"/>
      <c r="F19" s="38"/>
      <c r="G19" s="38"/>
      <c r="H19" s="38"/>
      <c r="I19" s="38"/>
      <c r="K19" s="127" t="str">
        <v>DC-4</v>
      </c>
      <c r="L19" s="127" t="str">
        <v>DC-6</v>
      </c>
      <c r="M19" s="127" t="str">
        <v/>
      </c>
      <c r="N19" s="127"/>
      <c r="O19" s="127"/>
      <c r="P19" s="127"/>
      <c r="Q19" s="127"/>
    </row>
    <row r="20" spans="1:17" x14ac:dyDescent="0.35">
      <c r="A20" s="261" t="s">
        <v>196</v>
      </c>
      <c r="B20" s="38">
        <v>6</v>
      </c>
      <c r="C20" s="38">
        <v>7</v>
      </c>
      <c r="D20" s="38">
        <v>9</v>
      </c>
      <c r="E20" s="38"/>
      <c r="F20" s="38"/>
      <c r="G20" s="38"/>
      <c r="H20" s="38"/>
      <c r="I20" s="38"/>
      <c r="K20" s="127" t="str">
        <v>DC-5</v>
      </c>
      <c r="L20" s="127" t="str">
        <v>DC-7</v>
      </c>
      <c r="M20" s="127" t="str">
        <v/>
      </c>
      <c r="N20" s="127"/>
      <c r="O20" s="127"/>
      <c r="P20" s="127"/>
      <c r="Q20" s="127"/>
    </row>
    <row r="21" spans="1:17" x14ac:dyDescent="0.35">
      <c r="A21" s="257"/>
      <c r="B21" s="38"/>
      <c r="C21" s="38"/>
      <c r="D21" s="38"/>
      <c r="E21" s="38"/>
      <c r="F21" s="38"/>
      <c r="G21" s="38"/>
      <c r="H21" s="38"/>
      <c r="I21" s="38"/>
      <c r="K21" s="127" t="str">
        <v>DC-6</v>
      </c>
      <c r="L21" s="127" t="str">
        <v>DC-8</v>
      </c>
      <c r="M21" s="127" t="str">
        <v/>
      </c>
      <c r="N21" s="127"/>
      <c r="O21" s="127"/>
      <c r="P21" s="127"/>
      <c r="Q21" s="127"/>
    </row>
    <row r="22" spans="1:17" x14ac:dyDescent="0.35">
      <c r="A22" s="264" t="s">
        <v>83</v>
      </c>
      <c r="B22" s="126" t="str" cm="1">
        <f t="array" ref="B22:D25">_xlfn._xlws.FILTER(calc!$B$67:$I$70,calc!$B$4:$I$4=1,"")</f>
        <v>SA1</v>
      </c>
      <c r="C22" s="256" t="str">
        <v>SA2</v>
      </c>
      <c r="D22" s="256" t="str">
        <v>SA3</v>
      </c>
      <c r="E22" s="256"/>
      <c r="F22" s="256"/>
      <c r="G22" s="256"/>
      <c r="H22" s="256"/>
      <c r="I22" s="256"/>
      <c r="K22" s="127" t="str">
        <v>DC-7</v>
      </c>
      <c r="L22" s="127" t="str">
        <v>DC-9</v>
      </c>
      <c r="M22" s="127" t="str">
        <v/>
      </c>
      <c r="N22" s="127"/>
      <c r="O22" s="127"/>
      <c r="P22" s="127"/>
      <c r="Q22" s="127"/>
    </row>
    <row r="23" spans="1:17" x14ac:dyDescent="0.35">
      <c r="A23" s="259" t="s">
        <v>192</v>
      </c>
      <c r="B23" s="38">
        <v>2</v>
      </c>
      <c r="C23" s="38">
        <v>1</v>
      </c>
      <c r="D23" s="38">
        <v>1</v>
      </c>
      <c r="E23" s="38"/>
      <c r="F23" s="38"/>
      <c r="G23" s="38"/>
      <c r="H23" s="38"/>
      <c r="I23" s="38"/>
      <c r="K23" s="127" t="str">
        <v>DC-8</v>
      </c>
      <c r="L23" s="127" t="str">
        <v>DC-10</v>
      </c>
      <c r="M23" s="127" t="str">
        <v/>
      </c>
      <c r="N23" s="127"/>
      <c r="O23" s="127"/>
      <c r="P23" s="127"/>
      <c r="Q23" s="127"/>
    </row>
    <row r="24" spans="1:17" x14ac:dyDescent="0.35">
      <c r="A24" s="260" t="s">
        <v>194</v>
      </c>
      <c r="B24" s="38">
        <v>9</v>
      </c>
      <c r="C24" s="38">
        <v>9</v>
      </c>
      <c r="D24" s="38">
        <v>8</v>
      </c>
      <c r="E24" s="38"/>
      <c r="F24" s="38"/>
      <c r="G24" s="38"/>
      <c r="H24" s="38"/>
      <c r="I24" s="38"/>
      <c r="K24" s="127" t="str">
        <v>DC-9</v>
      </c>
      <c r="L24" s="127" t="str">
        <v>DC-12</v>
      </c>
      <c r="M24" s="127" t="str">
        <v/>
      </c>
      <c r="N24" s="127"/>
      <c r="O24" s="127"/>
      <c r="P24" s="127"/>
      <c r="Q24" s="127"/>
    </row>
    <row r="25" spans="1:17" x14ac:dyDescent="0.35">
      <c r="A25" s="261" t="s">
        <v>196</v>
      </c>
      <c r="B25" s="38">
        <v>2</v>
      </c>
      <c r="C25" s="38">
        <v>3</v>
      </c>
      <c r="D25" s="38">
        <v>4</v>
      </c>
      <c r="E25" s="38"/>
      <c r="F25" s="38"/>
      <c r="G25" s="38"/>
      <c r="H25" s="38"/>
      <c r="I25" s="38"/>
      <c r="K25" s="127" t="str">
        <v>DC-10</v>
      </c>
      <c r="L25" s="127" t="str">
        <v/>
      </c>
      <c r="M25" s="127" t="str">
        <v/>
      </c>
      <c r="N25" s="127"/>
      <c r="O25" s="127"/>
      <c r="P25" s="127"/>
      <c r="Q25" s="127"/>
    </row>
    <row r="26" spans="1:17" x14ac:dyDescent="0.35">
      <c r="K26" s="127" t="str">
        <v>DC-12</v>
      </c>
      <c r="L26" s="127" t="str">
        <v/>
      </c>
      <c r="M26" s="127" t="str">
        <v/>
      </c>
      <c r="N26" s="127"/>
      <c r="O26" s="127"/>
      <c r="P26" s="127"/>
      <c r="Q26" s="127"/>
    </row>
    <row r="27" spans="1:17" ht="15.5" customHeight="1" x14ac:dyDescent="0.35">
      <c r="A27" s="39"/>
      <c r="B27" s="39"/>
      <c r="C27" s="39"/>
      <c r="D27" s="39"/>
      <c r="E27" s="39"/>
      <c r="F27" s="39"/>
      <c r="G27" s="39"/>
      <c r="H27" s="39"/>
      <c r="I27" s="39"/>
      <c r="K27" s="127" t="str">
        <v/>
      </c>
      <c r="L27" s="127" t="str">
        <v/>
      </c>
      <c r="M27" s="127" t="str">
        <v/>
      </c>
      <c r="N27" s="127"/>
      <c r="O27" s="127"/>
      <c r="P27" s="127"/>
      <c r="Q27" s="127"/>
    </row>
    <row r="28" spans="1:17" ht="14.5" customHeight="1" x14ac:dyDescent="0.35">
      <c r="A28" s="39"/>
      <c r="B28" s="39"/>
      <c r="C28" s="39"/>
      <c r="D28" s="39"/>
      <c r="E28" s="39"/>
      <c r="F28" s="39"/>
      <c r="G28" s="39"/>
      <c r="H28" s="39"/>
      <c r="I28" s="39"/>
      <c r="K28" s="127" t="str">
        <v/>
      </c>
      <c r="L28" s="127" t="str">
        <v/>
      </c>
      <c r="M28" s="127" t="str">
        <v/>
      </c>
      <c r="N28" s="127"/>
      <c r="O28" s="127"/>
      <c r="P28" s="127"/>
      <c r="Q28" s="127"/>
    </row>
    <row r="29" spans="1:17" ht="14.5" customHeight="1" x14ac:dyDescent="0.35">
      <c r="A29" s="39"/>
      <c r="B29" s="39"/>
      <c r="C29" s="39"/>
      <c r="D29" s="39"/>
      <c r="E29" s="39"/>
      <c r="F29" s="39"/>
      <c r="G29" s="39"/>
      <c r="H29" s="39"/>
      <c r="I29" s="39"/>
      <c r="K29" s="127" t="str">
        <v/>
      </c>
      <c r="L29" s="127" t="str">
        <v/>
      </c>
      <c r="M29" s="127" t="str">
        <v/>
      </c>
      <c r="N29" s="127"/>
      <c r="O29" s="127"/>
      <c r="P29" s="127"/>
      <c r="Q29" s="127"/>
    </row>
    <row r="30" spans="1:17" ht="14.5" customHeight="1" x14ac:dyDescent="0.35">
      <c r="A30" s="39"/>
      <c r="B30" s="39"/>
      <c r="C30" s="39"/>
      <c r="D30" s="39"/>
      <c r="E30" s="39"/>
      <c r="F30" s="39"/>
      <c r="G30" s="39"/>
      <c r="H30" s="39"/>
      <c r="I30" s="39"/>
      <c r="K30" s="127" t="str">
        <v/>
      </c>
      <c r="L30" s="127" t="str">
        <v/>
      </c>
      <c r="M30" s="127" t="str">
        <v/>
      </c>
      <c r="N30" s="127"/>
      <c r="O30" s="127"/>
      <c r="P30" s="127"/>
      <c r="Q30" s="127"/>
    </row>
    <row r="31" spans="1:17" ht="14.5" customHeight="1" x14ac:dyDescent="0.35">
      <c r="A31" s="39"/>
      <c r="B31" s="39"/>
      <c r="C31" s="39"/>
      <c r="D31" s="39"/>
      <c r="E31" s="39"/>
      <c r="F31" s="39"/>
      <c r="G31" s="39"/>
      <c r="H31" s="39"/>
      <c r="I31" s="39"/>
      <c r="K31" s="127" t="str">
        <v/>
      </c>
      <c r="L31" s="127" t="str">
        <v/>
      </c>
      <c r="M31" s="127" t="str">
        <v/>
      </c>
      <c r="N31" s="127"/>
      <c r="O31" s="127"/>
      <c r="P31" s="127"/>
      <c r="Q31" s="127"/>
    </row>
    <row r="32" spans="1:17" ht="14.5" customHeight="1" x14ac:dyDescent="0.35">
      <c r="A32" s="39"/>
      <c r="B32" s="39"/>
      <c r="C32" s="39"/>
      <c r="D32" s="39"/>
      <c r="E32" s="39"/>
      <c r="F32" s="39"/>
      <c r="G32" s="39"/>
      <c r="H32" s="39"/>
      <c r="I32" s="39"/>
      <c r="K32" s="127" t="str">
        <v/>
      </c>
      <c r="L32" s="127" t="str">
        <v/>
      </c>
      <c r="M32" s="127" t="str">
        <v/>
      </c>
      <c r="N32" s="127"/>
      <c r="O32" s="127"/>
      <c r="P32" s="127"/>
      <c r="Q32" s="127"/>
    </row>
    <row r="33" spans="1:17" ht="14.5" customHeight="1" x14ac:dyDescent="0.35">
      <c r="A33" s="39"/>
      <c r="B33" s="39"/>
      <c r="C33" s="39"/>
      <c r="D33" s="39"/>
      <c r="E33" s="39"/>
      <c r="F33" s="39"/>
      <c r="G33" s="39"/>
      <c r="H33" s="39"/>
      <c r="I33" s="39"/>
      <c r="K33" s="127" t="str">
        <v/>
      </c>
      <c r="L33" s="127" t="str">
        <v/>
      </c>
      <c r="M33" s="127" t="str">
        <v/>
      </c>
      <c r="N33" s="127"/>
      <c r="O33" s="127"/>
      <c r="P33" s="127"/>
      <c r="Q33" s="127"/>
    </row>
    <row r="34" spans="1:17" ht="14.5" customHeight="1" x14ac:dyDescent="0.35">
      <c r="A34" s="39"/>
      <c r="B34" s="39"/>
      <c r="C34" s="39"/>
      <c r="D34" s="39"/>
      <c r="E34" s="39"/>
      <c r="F34" s="39"/>
      <c r="G34" s="39"/>
      <c r="H34" s="39"/>
      <c r="I34" s="39"/>
      <c r="K34" s="127" t="str">
        <v/>
      </c>
      <c r="L34" s="127" t="str">
        <v/>
      </c>
      <c r="M34" s="127" t="str">
        <v/>
      </c>
      <c r="N34" s="127"/>
      <c r="O34" s="127"/>
      <c r="P34" s="127"/>
      <c r="Q34" s="127"/>
    </row>
    <row r="35" spans="1:17" ht="14.5" customHeight="1" x14ac:dyDescent="0.35">
      <c r="A35" s="39"/>
      <c r="B35" s="39"/>
      <c r="C35" s="39"/>
      <c r="D35" s="39"/>
      <c r="E35" s="39"/>
      <c r="F35" s="39"/>
      <c r="G35" s="39"/>
      <c r="H35" s="39"/>
      <c r="I35" s="39"/>
      <c r="K35" s="127" t="str">
        <v/>
      </c>
      <c r="L35" s="127" t="str">
        <v/>
      </c>
      <c r="M35" s="127" t="str">
        <v/>
      </c>
      <c r="N35" s="127"/>
      <c r="O35" s="127"/>
      <c r="P35" s="127"/>
      <c r="Q35" s="127"/>
    </row>
    <row r="36" spans="1:17" ht="14.5" customHeight="1" x14ac:dyDescent="0.35">
      <c r="A36" s="39"/>
      <c r="B36" s="39"/>
      <c r="C36" s="39"/>
      <c r="D36" s="39"/>
      <c r="E36" s="39"/>
      <c r="F36" s="39"/>
      <c r="G36" s="39"/>
      <c r="H36" s="39"/>
      <c r="I36" s="39"/>
      <c r="K36" s="127" t="str">
        <v/>
      </c>
      <c r="L36" s="127" t="str">
        <v/>
      </c>
      <c r="M36" s="127" t="str">
        <v/>
      </c>
      <c r="N36" s="127"/>
      <c r="O36" s="127"/>
      <c r="P36" s="127"/>
      <c r="Q36" s="127"/>
    </row>
    <row r="37" spans="1:17" ht="14.5" customHeight="1" x14ac:dyDescent="0.35">
      <c r="A37" s="39"/>
      <c r="B37" s="39"/>
      <c r="C37" s="39"/>
      <c r="D37" s="39"/>
      <c r="E37" s="39"/>
      <c r="F37" s="39"/>
      <c r="G37" s="39"/>
      <c r="H37" s="39"/>
      <c r="I37" s="39"/>
      <c r="K37" s="127" t="str">
        <v/>
      </c>
      <c r="L37" s="127" t="str">
        <v/>
      </c>
      <c r="M37" s="127" t="str">
        <v/>
      </c>
      <c r="N37" s="127"/>
      <c r="O37" s="127"/>
      <c r="P37" s="127"/>
      <c r="Q37" s="127"/>
    </row>
    <row r="38" spans="1:17" ht="14.5" customHeight="1" x14ac:dyDescent="0.35">
      <c r="A38" s="39"/>
      <c r="B38" s="39"/>
      <c r="C38" s="39"/>
      <c r="D38" s="39"/>
      <c r="E38" s="39"/>
      <c r="F38" s="39"/>
      <c r="G38" s="39"/>
      <c r="H38" s="39"/>
      <c r="I38" s="39"/>
      <c r="K38" s="127" t="str">
        <v/>
      </c>
      <c r="L38" s="127" t="str">
        <v/>
      </c>
      <c r="M38" s="127" t="str">
        <v/>
      </c>
      <c r="N38" s="127"/>
      <c r="O38" s="127"/>
      <c r="P38" s="127"/>
      <c r="Q38" s="127"/>
    </row>
    <row r="39" spans="1:17" ht="14.5" customHeight="1" x14ac:dyDescent="0.35">
      <c r="A39" s="39"/>
      <c r="B39" s="39"/>
      <c r="C39" s="39"/>
      <c r="D39" s="39"/>
      <c r="E39" s="39"/>
      <c r="F39" s="39"/>
      <c r="G39" s="39"/>
      <c r="H39" s="39"/>
      <c r="I39" s="39"/>
      <c r="K39" s="127" t="str">
        <v/>
      </c>
      <c r="L39" s="127" t="str">
        <v/>
      </c>
      <c r="M39" s="127" t="str">
        <v/>
      </c>
      <c r="N39" s="127"/>
      <c r="O39" s="127"/>
      <c r="P39" s="127"/>
      <c r="Q39" s="127"/>
    </row>
    <row r="40" spans="1:17" ht="14.5" customHeight="1" x14ac:dyDescent="0.35">
      <c r="A40" s="39"/>
      <c r="B40" s="39"/>
      <c r="C40" s="39"/>
      <c r="D40" s="39"/>
      <c r="E40" s="39"/>
      <c r="F40" s="39"/>
      <c r="G40" s="39"/>
      <c r="H40" s="39"/>
      <c r="I40" s="39"/>
      <c r="K40" s="127" t="str">
        <v/>
      </c>
      <c r="L40" s="127" t="str">
        <v/>
      </c>
      <c r="M40" s="127" t="str">
        <v/>
      </c>
      <c r="N40" s="127"/>
      <c r="O40" s="127"/>
      <c r="P40" s="127"/>
      <c r="Q40" s="127"/>
    </row>
    <row r="41" spans="1:17" ht="14.5" customHeight="1" x14ac:dyDescent="0.35">
      <c r="A41" s="39"/>
      <c r="B41" s="39"/>
      <c r="C41" s="39"/>
      <c r="D41" s="39"/>
      <c r="E41" s="39"/>
      <c r="F41" s="39"/>
      <c r="G41" s="39"/>
      <c r="H41" s="39"/>
      <c r="I41" s="39"/>
      <c r="K41" s="127" t="str">
        <v/>
      </c>
      <c r="L41" s="127" t="str">
        <v/>
      </c>
      <c r="M41" s="127" t="str">
        <v/>
      </c>
      <c r="N41" s="127"/>
      <c r="O41" s="127"/>
      <c r="P41" s="127"/>
      <c r="Q41" s="127"/>
    </row>
    <row r="42" spans="1:17" ht="15" customHeight="1" x14ac:dyDescent="0.35">
      <c r="A42" s="39"/>
      <c r="B42" s="39"/>
      <c r="C42" s="39"/>
      <c r="D42" s="39"/>
      <c r="E42" s="39"/>
      <c r="F42" s="39"/>
      <c r="G42" s="39"/>
      <c r="H42" s="39"/>
      <c r="I42" s="39"/>
      <c r="K42" s="127" t="str">
        <v/>
      </c>
      <c r="L42" s="127" t="str">
        <v/>
      </c>
      <c r="M42" s="127" t="str">
        <v/>
      </c>
      <c r="N42" s="127"/>
      <c r="O42" s="127"/>
      <c r="P42" s="127"/>
      <c r="Q42" s="127"/>
    </row>
    <row r="43" spans="1:17" x14ac:dyDescent="0.35">
      <c r="I43" s="127"/>
      <c r="K43" t="str">
        <v/>
      </c>
      <c r="L43" t="str">
        <v/>
      </c>
      <c r="M43" t="str">
        <v/>
      </c>
    </row>
    <row r="44" spans="1:17" x14ac:dyDescent="0.35">
      <c r="A44" s="269" t="s">
        <v>150</v>
      </c>
      <c r="I44" s="127"/>
    </row>
  </sheetData>
  <sheetProtection sheet="1" formatCells="0" formatColumns="0" formatRows="0"/>
  <phoneticPr fontId="15" type="noConversion"/>
  <conditionalFormatting sqref="B7:I7">
    <cfRule type="expression" dxfId="42" priority="2">
      <formula>B$7&lt;&gt;""</formula>
    </cfRule>
  </conditionalFormatting>
  <conditionalFormatting sqref="B7:I10 B12:I15 B17:I20 B22:I25">
    <cfRule type="expression" dxfId="41" priority="6">
      <formula>AND(B$7&lt;&gt;"",C$7="")</formula>
    </cfRule>
    <cfRule type="expression" dxfId="40" priority="7">
      <formula>B$7&lt;&gt;""</formula>
    </cfRule>
  </conditionalFormatting>
  <conditionalFormatting sqref="B8:I10 B12:I15 B17:I20 B22:I25">
    <cfRule type="expression" dxfId="39" priority="11">
      <formula>B8=0</formula>
    </cfRule>
  </conditionalFormatting>
  <conditionalFormatting sqref="B11:I11 B16:I16 B21:I21 B26:I26">
    <cfRule type="expression" dxfId="38" priority="1">
      <formula>B$7&lt;&gt;""</formula>
    </cfRule>
  </conditionalFormatting>
  <conditionalFormatting sqref="B12:I12">
    <cfRule type="expression" dxfId="37" priority="3">
      <formula>B$7&lt;&gt;""</formula>
    </cfRule>
  </conditionalFormatting>
  <conditionalFormatting sqref="B17:I17">
    <cfRule type="expression" dxfId="36" priority="4">
      <formula>B$7&lt;&gt;""</formula>
    </cfRule>
  </conditionalFormatting>
  <conditionalFormatting sqref="B22:I22">
    <cfRule type="expression" dxfId="35" priority="5">
      <formula>B$7&lt;&gt;""</formula>
    </cfRule>
  </conditionalFormatting>
  <conditionalFormatting sqref="K7:R7">
    <cfRule type="expression" dxfId="34" priority="15">
      <formula>B$7&lt;&gt;""</formula>
    </cfRule>
    <cfRule type="expression" dxfId="33" priority="16">
      <formula>AND(B$7&lt;&gt;"",C$7="")</formula>
    </cfRule>
    <cfRule type="expression" dxfId="32" priority="17">
      <formula>B$7&lt;&gt;""</formula>
    </cfRule>
  </conditionalFormatting>
  <conditionalFormatting sqref="K8:R43">
    <cfRule type="expression" dxfId="31" priority="12">
      <formula>LEFT(K8)="F"</formula>
    </cfRule>
    <cfRule type="expression" dxfId="30" priority="13">
      <formula>LEFT(K8)="I"</formula>
    </cfRule>
    <cfRule type="expression" dxfId="29" priority="14">
      <formula>LEFT(K8)="D"</formula>
    </cfRule>
  </conditionalFormatting>
  <dataValidations count="1">
    <dataValidation type="list" allowBlank="1" showInputMessage="1" showErrorMessage="1" sqref="A4" xr:uid="{A3CF43F0-809A-4BC7-AC04-D9CFD3BD02CF}">
      <formula1>"All Ratings, Essential Only"</formula1>
    </dataValidation>
  </dataValidations>
  <pageMargins left="0.7" right="0.7" top="0.75" bottom="0.75" header="0.3" footer="0.3"/>
  <pageSetup scale="87" fitToWidth="0" fitToHeight="0" orientation="landscape" horizontalDpi="4294967293" verticalDpi="0" r:id="rId1"/>
  <headerFooter>
    <oddHeader>&amp;LSummary of Ratings&amp;RPrinted on: &amp;D</oddHeader>
    <oddFooter>&amp;CPage &amp;P of &amp;N</oddFooter>
  </headerFooter>
  <colBreaks count="1" manualBreakCount="1">
    <brk id="9"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A9EA4-6138-4470-B5AE-626816D2A4ED}">
  <sheetPr>
    <tabColor rgb="FFFFFF99"/>
  </sheetPr>
  <dimension ref="A1:Z46"/>
  <sheetViews>
    <sheetView showGridLines="0" zoomScaleNormal="100" workbookViewId="0"/>
  </sheetViews>
  <sheetFormatPr defaultRowHeight="14.5" zeroHeight="1" x14ac:dyDescent="0.35"/>
  <cols>
    <col min="1" max="1" width="54.08984375" customWidth="1"/>
    <col min="2" max="2" width="8.453125" customWidth="1"/>
    <col min="3" max="17" width="8.90625" customWidth="1"/>
    <col min="18" max="18" width="8.90625" style="127" customWidth="1"/>
    <col min="19" max="26" width="8.90625" customWidth="1"/>
  </cols>
  <sheetData>
    <row r="1" spans="1:26" s="270" customFormat="1" ht="10.5" x14ac:dyDescent="0.25">
      <c r="A1" s="271" t="s">
        <v>176</v>
      </c>
      <c r="B1" s="272"/>
      <c r="C1" s="272"/>
      <c r="K1" s="272"/>
      <c r="N1" s="273"/>
      <c r="R1" s="375"/>
    </row>
    <row r="2" spans="1:26" ht="19" thickBot="1" x14ac:dyDescent="0.4">
      <c r="A2" s="356" t="s">
        <v>175</v>
      </c>
      <c r="B2" s="357"/>
      <c r="C2" s="357"/>
      <c r="D2" s="357"/>
      <c r="E2" s="357"/>
      <c r="F2" s="357"/>
      <c r="G2" s="357"/>
      <c r="H2" s="357"/>
      <c r="I2" s="357"/>
      <c r="J2" s="357"/>
      <c r="K2" s="357"/>
      <c r="L2" s="357"/>
      <c r="M2" s="357"/>
      <c r="N2" s="357"/>
      <c r="O2" s="357"/>
      <c r="P2" s="357"/>
      <c r="Q2" s="357"/>
      <c r="R2" s="378"/>
      <c r="S2" s="357"/>
      <c r="T2" s="357"/>
      <c r="U2" s="357"/>
      <c r="V2" s="357"/>
      <c r="W2" s="357"/>
      <c r="X2" s="39"/>
      <c r="Y2" s="39"/>
      <c r="Z2" s="39"/>
    </row>
    <row r="3" spans="1:26" x14ac:dyDescent="0.35">
      <c r="A3" s="381" t="s">
        <v>271</v>
      </c>
      <c r="B3" s="382"/>
      <c r="C3" s="359" t="s">
        <v>84</v>
      </c>
      <c r="D3" s="360" t="s">
        <v>85</v>
      </c>
      <c r="E3" s="361" t="s">
        <v>86</v>
      </c>
      <c r="F3" s="39"/>
      <c r="G3" s="39"/>
      <c r="H3" s="39"/>
      <c r="I3" s="39"/>
      <c r="J3" s="39"/>
      <c r="K3" s="39"/>
      <c r="L3" s="39"/>
      <c r="M3" s="39"/>
      <c r="N3" s="39"/>
      <c r="O3" s="39"/>
      <c r="P3" s="39"/>
      <c r="Q3" s="39"/>
      <c r="R3" s="38"/>
      <c r="S3" s="39"/>
      <c r="T3" s="39"/>
      <c r="U3" s="39"/>
      <c r="V3" s="39"/>
      <c r="W3" s="39"/>
      <c r="X3" s="39"/>
      <c r="Y3" s="39"/>
      <c r="Z3" s="39"/>
    </row>
    <row r="4" spans="1:26" ht="16" x14ac:dyDescent="0.35">
      <c r="A4" s="39"/>
      <c r="B4" s="39"/>
      <c r="C4" s="274" t="s">
        <v>190</v>
      </c>
      <c r="D4" s="275" t="s">
        <v>190</v>
      </c>
      <c r="E4" s="276" t="s">
        <v>273</v>
      </c>
      <c r="F4" s="39"/>
      <c r="G4" s="39"/>
      <c r="H4" s="39"/>
      <c r="I4" s="39"/>
      <c r="J4" s="39"/>
      <c r="K4" s="39"/>
      <c r="L4" s="39"/>
      <c r="M4" s="39"/>
      <c r="N4" s="39"/>
      <c r="O4" s="39"/>
      <c r="P4" s="39"/>
      <c r="Q4" s="39"/>
      <c r="R4" s="38"/>
      <c r="S4" s="39"/>
      <c r="T4" s="39"/>
      <c r="U4" s="39"/>
      <c r="V4" s="39"/>
      <c r="W4" s="39"/>
      <c r="X4" s="39"/>
      <c r="Y4" s="39"/>
      <c r="Z4" s="39"/>
    </row>
    <row r="5" spans="1:26" x14ac:dyDescent="0.35">
      <c r="A5" s="358"/>
      <c r="B5" s="358"/>
      <c r="C5" s="358"/>
      <c r="D5" s="358"/>
      <c r="E5" s="358"/>
      <c r="F5" s="358"/>
      <c r="G5" s="358"/>
      <c r="H5" s="358"/>
      <c r="I5" s="358"/>
      <c r="J5" s="358"/>
      <c r="K5" s="358"/>
      <c r="L5" s="358"/>
      <c r="M5" s="358"/>
      <c r="N5" s="358"/>
      <c r="O5" s="358"/>
      <c r="P5" s="358"/>
      <c r="Q5" s="358"/>
      <c r="R5" s="379"/>
      <c r="S5" s="358"/>
      <c r="T5" s="358"/>
      <c r="U5" s="358"/>
      <c r="V5" s="358"/>
      <c r="W5" s="358"/>
      <c r="X5" s="358"/>
      <c r="Y5" s="358"/>
      <c r="Z5" s="358"/>
    </row>
    <row r="6" spans="1:26" x14ac:dyDescent="0.35">
      <c r="A6" s="396" t="s">
        <v>175</v>
      </c>
      <c r="B6" s="397"/>
      <c r="C6" s="362" t="str" cm="1">
        <f t="array" ref="C6:H43">_xlfn.ANCHORARRAY(calc!AM11)</f>
        <v>SA 1</v>
      </c>
      <c r="D6" s="362" t="str">
        <v>SA 1</v>
      </c>
      <c r="E6" s="362" t="str">
        <v>SA 2</v>
      </c>
      <c r="F6" s="362" t="str">
        <v>SA 2</v>
      </c>
      <c r="G6" s="362" t="str">
        <v>SA 3</v>
      </c>
      <c r="H6" s="362" t="str">
        <v>SA 3</v>
      </c>
      <c r="I6" s="362"/>
      <c r="J6" s="362"/>
      <c r="K6" s="362"/>
      <c r="L6" s="362"/>
      <c r="M6" s="362"/>
      <c r="N6" s="362"/>
      <c r="O6" s="362"/>
      <c r="P6" s="362"/>
      <c r="Q6" s="362"/>
      <c r="R6" s="362"/>
      <c r="S6" s="362"/>
      <c r="T6" s="362"/>
      <c r="U6" s="362"/>
      <c r="V6" s="362"/>
      <c r="W6" s="362"/>
      <c r="X6" s="362"/>
      <c r="Y6" s="362"/>
      <c r="Z6" s="362"/>
    </row>
    <row r="7" spans="1:26" ht="29" x14ac:dyDescent="0.35">
      <c r="A7" s="363" t="s">
        <v>162</v>
      </c>
      <c r="B7" s="364" t="s">
        <v>98</v>
      </c>
      <c r="C7" s="362" t="str">
        <v>Rate</v>
      </c>
      <c r="D7" s="362" t="str">
        <v>Essential</v>
      </c>
      <c r="E7" s="362" t="str">
        <v>Rate</v>
      </c>
      <c r="F7" s="362" t="str">
        <v>Essential</v>
      </c>
      <c r="G7" s="362" t="str">
        <v>Rate</v>
      </c>
      <c r="H7" s="362" t="str">
        <v>Essential</v>
      </c>
      <c r="I7" s="362"/>
      <c r="J7" s="362"/>
      <c r="K7" s="362"/>
      <c r="L7" s="362"/>
      <c r="M7" s="362"/>
      <c r="N7" s="362"/>
      <c r="O7" s="362"/>
      <c r="P7" s="362"/>
      <c r="Q7" s="362"/>
      <c r="R7" s="362"/>
      <c r="S7" s="362"/>
      <c r="T7" s="362"/>
      <c r="U7" s="362"/>
      <c r="V7" s="362"/>
      <c r="W7" s="362"/>
      <c r="X7" s="362"/>
      <c r="Y7" s="362"/>
      <c r="Z7" s="362"/>
    </row>
    <row r="8" spans="1:26" x14ac:dyDescent="0.35">
      <c r="A8" s="348" t="s">
        <v>3</v>
      </c>
      <c r="B8" s="365" t="s">
        <v>2</v>
      </c>
      <c r="C8" s="366" t="str">
        <v>Hi comp</v>
      </c>
      <c r="D8" s="366" t="str">
        <v>Y</v>
      </c>
      <c r="E8" s="366" t="str">
        <v>Hi comp</v>
      </c>
      <c r="F8" s="366" t="str">
        <v>Y</v>
      </c>
      <c r="G8" s="366" t="str">
        <v>Hi comp</v>
      </c>
      <c r="H8" s="366" t="str">
        <v>Y</v>
      </c>
      <c r="I8" s="366"/>
      <c r="J8" s="366"/>
      <c r="K8" s="366"/>
      <c r="L8" s="366"/>
      <c r="M8" s="366"/>
      <c r="N8" s="366"/>
      <c r="O8" s="366"/>
      <c r="P8" s="366"/>
      <c r="Q8" s="366"/>
      <c r="R8" s="366"/>
      <c r="S8" s="366"/>
      <c r="T8" s="366"/>
      <c r="U8" s="366"/>
      <c r="V8" s="366"/>
      <c r="W8" s="366"/>
      <c r="X8" s="366"/>
      <c r="Y8" s="366"/>
      <c r="Z8" s="366"/>
    </row>
    <row r="9" spans="1:26" ht="29" x14ac:dyDescent="0.35">
      <c r="A9" s="349" t="s">
        <v>6</v>
      </c>
      <c r="B9" s="367" t="s">
        <v>5</v>
      </c>
      <c r="C9" s="366" t="str">
        <v>Hi comp</v>
      </c>
      <c r="D9" s="366" t="str">
        <v>Y</v>
      </c>
      <c r="E9" s="366" t="str">
        <v>Hi comp</v>
      </c>
      <c r="F9" s="366" t="str">
        <v>Y</v>
      </c>
      <c r="G9" s="366" t="str">
        <v>Hi comp</v>
      </c>
      <c r="H9" s="366" t="str">
        <v>Y</v>
      </c>
      <c r="I9" s="366"/>
      <c r="J9" s="366"/>
      <c r="K9" s="366"/>
      <c r="L9" s="366"/>
      <c r="M9" s="366"/>
      <c r="N9" s="366"/>
      <c r="O9" s="366"/>
      <c r="P9" s="366"/>
      <c r="Q9" s="366"/>
      <c r="R9" s="366"/>
      <c r="S9" s="366"/>
      <c r="T9" s="366"/>
      <c r="U9" s="366"/>
      <c r="V9" s="366"/>
      <c r="W9" s="366"/>
      <c r="X9" s="366"/>
      <c r="Y9" s="366"/>
      <c r="Z9" s="366"/>
    </row>
    <row r="10" spans="1:26" ht="72.5" x14ac:dyDescent="0.35">
      <c r="A10" s="349" t="s">
        <v>9</v>
      </c>
      <c r="B10" s="367" t="s">
        <v>8</v>
      </c>
      <c r="C10" s="366" t="str">
        <v>Comp</v>
      </c>
      <c r="D10" s="366" t="str">
        <v>Y</v>
      </c>
      <c r="E10" s="366" t="str">
        <v>Comp</v>
      </c>
      <c r="F10" s="366" t="str">
        <v>Y</v>
      </c>
      <c r="G10" s="366" t="str">
        <v>Hi comp</v>
      </c>
      <c r="H10" s="366" t="str">
        <v>Y</v>
      </c>
      <c r="I10" s="366"/>
      <c r="J10" s="366"/>
      <c r="K10" s="366"/>
      <c r="L10" s="366"/>
      <c r="M10" s="366"/>
      <c r="N10" s="366"/>
      <c r="O10" s="366"/>
      <c r="P10" s="366"/>
      <c r="Q10" s="366"/>
      <c r="R10" s="366"/>
      <c r="S10" s="366"/>
      <c r="T10" s="366"/>
      <c r="U10" s="366"/>
      <c r="V10" s="366"/>
      <c r="W10" s="366"/>
      <c r="X10" s="366"/>
      <c r="Y10" s="366"/>
      <c r="Z10" s="366"/>
    </row>
    <row r="11" spans="1:26" ht="43.5" x14ac:dyDescent="0.35">
      <c r="A11" s="349" t="s">
        <v>11</v>
      </c>
      <c r="B11" s="367" t="s">
        <v>10</v>
      </c>
      <c r="C11" s="366" t="str">
        <v>Hi comp</v>
      </c>
      <c r="D11" s="366" t="str">
        <v>Y</v>
      </c>
      <c r="E11" s="366" t="str">
        <v>Hi comp</v>
      </c>
      <c r="F11" s="366" t="str">
        <v>Y</v>
      </c>
      <c r="G11" s="366" t="str">
        <v>Hi comp</v>
      </c>
      <c r="H11" s="366" t="str">
        <v>Y</v>
      </c>
      <c r="I11" s="366"/>
      <c r="J11" s="366"/>
      <c r="K11" s="366"/>
      <c r="L11" s="366"/>
      <c r="M11" s="366"/>
      <c r="N11" s="366"/>
      <c r="O11" s="366"/>
      <c r="P11" s="366"/>
      <c r="Q11" s="366"/>
      <c r="R11" s="366"/>
      <c r="S11" s="366"/>
      <c r="T11" s="366"/>
      <c r="U11" s="366"/>
      <c r="V11" s="366"/>
      <c r="W11" s="366"/>
      <c r="X11" s="366"/>
      <c r="Y11" s="366"/>
      <c r="Z11" s="366"/>
    </row>
    <row r="12" spans="1:26" ht="58" x14ac:dyDescent="0.35">
      <c r="A12" s="349" t="s">
        <v>13</v>
      </c>
      <c r="B12" s="367" t="s">
        <v>12</v>
      </c>
      <c r="C12" s="366" t="str">
        <v>Min comp</v>
      </c>
      <c r="D12" s="366" t="str">
        <v>Y</v>
      </c>
      <c r="E12" s="366" t="str">
        <v>Comp</v>
      </c>
      <c r="F12" s="366" t="str">
        <v>Y</v>
      </c>
      <c r="G12" s="366" t="str">
        <v>Comp</v>
      </c>
      <c r="H12" s="366" t="str">
        <v>Y</v>
      </c>
      <c r="I12" s="366"/>
      <c r="J12" s="366"/>
      <c r="K12" s="366"/>
      <c r="L12" s="366"/>
      <c r="M12" s="366"/>
      <c r="N12" s="366"/>
      <c r="O12" s="366"/>
      <c r="P12" s="366"/>
      <c r="Q12" s="366"/>
      <c r="R12" s="366"/>
      <c r="S12" s="366"/>
      <c r="T12" s="366"/>
      <c r="U12" s="366"/>
      <c r="V12" s="366"/>
      <c r="W12" s="366"/>
      <c r="X12" s="366"/>
      <c r="Y12" s="366"/>
      <c r="Z12" s="366"/>
    </row>
    <row r="13" spans="1:26" ht="43.5" x14ac:dyDescent="0.35">
      <c r="A13" s="349" t="s">
        <v>16</v>
      </c>
      <c r="B13" s="367" t="s">
        <v>15</v>
      </c>
      <c r="C13" s="366" t="str">
        <v>Comp</v>
      </c>
      <c r="D13" s="366" t="str">
        <v>Y</v>
      </c>
      <c r="E13" s="366" t="str">
        <v>Comp</v>
      </c>
      <c r="F13" s="366" t="str">
        <v>Y</v>
      </c>
      <c r="G13" s="366" t="str">
        <v>Comp</v>
      </c>
      <c r="H13" s="366" t="str">
        <v>Y</v>
      </c>
      <c r="I13" s="366"/>
      <c r="J13" s="366"/>
      <c r="K13" s="366"/>
      <c r="L13" s="366"/>
      <c r="M13" s="366"/>
      <c r="N13" s="366"/>
      <c r="O13" s="366"/>
      <c r="P13" s="366"/>
      <c r="Q13" s="366"/>
      <c r="R13" s="366"/>
      <c r="S13" s="366"/>
      <c r="T13" s="366"/>
      <c r="U13" s="366"/>
      <c r="V13" s="366"/>
      <c r="W13" s="366"/>
      <c r="X13" s="366"/>
      <c r="Y13" s="366"/>
      <c r="Z13" s="366"/>
    </row>
    <row r="14" spans="1:26" ht="58" x14ac:dyDescent="0.35">
      <c r="A14" s="349" t="s">
        <v>18</v>
      </c>
      <c r="B14" s="367" t="s">
        <v>17</v>
      </c>
      <c r="C14" s="366" t="str">
        <v>Min comp</v>
      </c>
      <c r="D14" s="366" t="str">
        <v>Y</v>
      </c>
      <c r="E14" s="366" t="str">
        <v>Comp</v>
      </c>
      <c r="F14" s="366" t="str">
        <v>Y</v>
      </c>
      <c r="G14" s="366" t="str">
        <v>Comp</v>
      </c>
      <c r="H14" s="366" t="str">
        <v>Y</v>
      </c>
      <c r="I14" s="366"/>
      <c r="J14" s="366"/>
      <c r="K14" s="366"/>
      <c r="L14" s="366"/>
      <c r="M14" s="366"/>
      <c r="N14" s="366"/>
      <c r="O14" s="366"/>
      <c r="P14" s="366"/>
      <c r="Q14" s="366"/>
      <c r="R14" s="366"/>
      <c r="S14" s="366"/>
      <c r="T14" s="366"/>
      <c r="U14" s="366"/>
      <c r="V14" s="366"/>
      <c r="W14" s="366"/>
      <c r="X14" s="366"/>
      <c r="Y14" s="366"/>
      <c r="Z14" s="366"/>
    </row>
    <row r="15" spans="1:26" ht="58" x14ac:dyDescent="0.35">
      <c r="A15" s="349" t="s">
        <v>20</v>
      </c>
      <c r="B15" s="367" t="s">
        <v>19</v>
      </c>
      <c r="C15" s="366" t="str">
        <v>Comp</v>
      </c>
      <c r="D15" s="366" t="str">
        <v>N</v>
      </c>
      <c r="E15" s="366" t="str">
        <v>Comp</v>
      </c>
      <c r="F15" s="366" t="str">
        <v>N</v>
      </c>
      <c r="G15" s="366" t="str">
        <v>Comp</v>
      </c>
      <c r="H15" s="366" t="str">
        <v>N</v>
      </c>
      <c r="I15" s="366"/>
      <c r="J15" s="366"/>
      <c r="K15" s="366"/>
      <c r="L15" s="366"/>
      <c r="M15" s="366"/>
      <c r="N15" s="366"/>
      <c r="O15" s="366"/>
      <c r="P15" s="366"/>
      <c r="Q15" s="366"/>
      <c r="R15" s="366"/>
      <c r="S15" s="366"/>
      <c r="T15" s="366"/>
      <c r="U15" s="366"/>
      <c r="V15" s="366"/>
      <c r="W15" s="366"/>
      <c r="X15" s="366"/>
      <c r="Y15" s="366"/>
      <c r="Z15" s="366"/>
    </row>
    <row r="16" spans="1:26" ht="29" x14ac:dyDescent="0.35">
      <c r="A16" s="349" t="s">
        <v>22</v>
      </c>
      <c r="B16" s="367" t="s">
        <v>21</v>
      </c>
      <c r="C16" s="366" t="str">
        <v>Comp</v>
      </c>
      <c r="D16" s="366" t="str">
        <v>Y</v>
      </c>
      <c r="E16" s="366" t="str">
        <v>Comp</v>
      </c>
      <c r="F16" s="366" t="str">
        <v>Y</v>
      </c>
      <c r="G16" s="366" t="str">
        <v>Comp</v>
      </c>
      <c r="H16" s="366" t="str">
        <v>Y</v>
      </c>
      <c r="I16" s="366"/>
      <c r="J16" s="366"/>
      <c r="K16" s="366"/>
      <c r="L16" s="366"/>
      <c r="M16" s="366"/>
      <c r="N16" s="366"/>
      <c r="O16" s="366"/>
      <c r="P16" s="366"/>
      <c r="Q16" s="366"/>
      <c r="R16" s="366"/>
      <c r="S16" s="366"/>
      <c r="T16" s="366"/>
      <c r="U16" s="366"/>
      <c r="V16" s="366"/>
      <c r="W16" s="366"/>
      <c r="X16" s="366"/>
      <c r="Y16" s="366"/>
      <c r="Z16" s="366"/>
    </row>
    <row r="17" spans="1:26" ht="58" x14ac:dyDescent="0.35">
      <c r="A17" s="350" t="s">
        <v>24</v>
      </c>
      <c r="B17" s="368" t="s">
        <v>23</v>
      </c>
      <c r="C17" s="366" t="str">
        <v>Min comp</v>
      </c>
      <c r="D17" s="366" t="str">
        <v>Y</v>
      </c>
      <c r="E17" s="366" t="str">
        <v>Comp</v>
      </c>
      <c r="F17" s="366" t="str">
        <v>Y</v>
      </c>
      <c r="G17" s="366" t="str">
        <v>Hi comp</v>
      </c>
      <c r="H17" s="366" t="str">
        <v>Y</v>
      </c>
      <c r="I17" s="366"/>
      <c r="J17" s="366"/>
      <c r="K17" s="366"/>
      <c r="L17" s="366"/>
      <c r="M17" s="366"/>
      <c r="N17" s="366"/>
      <c r="O17" s="366"/>
      <c r="P17" s="366"/>
      <c r="Q17" s="366"/>
      <c r="R17" s="366"/>
      <c r="S17" s="366"/>
      <c r="T17" s="366"/>
      <c r="U17" s="366"/>
      <c r="V17" s="366"/>
      <c r="W17" s="366"/>
      <c r="X17" s="366"/>
      <c r="Y17" s="366"/>
      <c r="Z17" s="366"/>
    </row>
    <row r="18" spans="1:26" ht="58" x14ac:dyDescent="0.35">
      <c r="A18" s="351" t="s">
        <v>26</v>
      </c>
      <c r="B18" s="369" t="s">
        <v>25</v>
      </c>
      <c r="C18" s="366" t="str">
        <v>Hi comp</v>
      </c>
      <c r="D18" s="366" t="str">
        <v>Y</v>
      </c>
      <c r="E18" s="366" t="str">
        <v>Hi comp</v>
      </c>
      <c r="F18" s="366" t="str">
        <v>Y</v>
      </c>
      <c r="G18" s="366" t="str">
        <v>Hi comp</v>
      </c>
      <c r="H18" s="366" t="str">
        <v>Y</v>
      </c>
      <c r="I18" s="366"/>
      <c r="J18" s="366"/>
      <c r="K18" s="366"/>
      <c r="L18" s="366"/>
      <c r="M18" s="366"/>
      <c r="N18" s="366"/>
      <c r="O18" s="366"/>
      <c r="P18" s="366"/>
      <c r="Q18" s="366"/>
      <c r="R18" s="366"/>
      <c r="S18" s="366"/>
      <c r="T18" s="366"/>
      <c r="U18" s="366"/>
      <c r="V18" s="366"/>
      <c r="W18" s="366"/>
      <c r="X18" s="366"/>
      <c r="Y18" s="366"/>
      <c r="Z18" s="366"/>
    </row>
    <row r="19" spans="1:26" ht="29" x14ac:dyDescent="0.35">
      <c r="A19" s="352" t="s">
        <v>28</v>
      </c>
      <c r="B19" s="370" t="s">
        <v>27</v>
      </c>
      <c r="C19" s="366" t="str">
        <v>Hi comp</v>
      </c>
      <c r="D19" s="366" t="str">
        <v>Y</v>
      </c>
      <c r="E19" s="366" t="str">
        <v>Hi comp</v>
      </c>
      <c r="F19" s="366" t="str">
        <v>Y</v>
      </c>
      <c r="G19" s="366" t="str">
        <v>Hi comp</v>
      </c>
      <c r="H19" s="366" t="str">
        <v>Y</v>
      </c>
      <c r="I19" s="366"/>
      <c r="J19" s="366"/>
      <c r="K19" s="366"/>
      <c r="L19" s="366"/>
      <c r="M19" s="366"/>
      <c r="N19" s="366"/>
      <c r="O19" s="366"/>
      <c r="P19" s="366"/>
      <c r="Q19" s="366"/>
      <c r="R19" s="366"/>
      <c r="S19" s="366"/>
      <c r="T19" s="366"/>
      <c r="U19" s="366"/>
      <c r="V19" s="366"/>
      <c r="W19" s="366"/>
      <c r="X19" s="366"/>
      <c r="Y19" s="366"/>
      <c r="Z19" s="366"/>
    </row>
    <row r="20" spans="1:26" ht="43.5" x14ac:dyDescent="0.35">
      <c r="A20" s="352" t="s">
        <v>30</v>
      </c>
      <c r="B20" s="370" t="s">
        <v>29</v>
      </c>
      <c r="C20" s="366" t="str">
        <v>Hi comp</v>
      </c>
      <c r="D20" s="366" t="str">
        <v>Y</v>
      </c>
      <c r="E20" s="366" t="str">
        <v>Hi comp</v>
      </c>
      <c r="F20" s="366" t="str">
        <v>Y</v>
      </c>
      <c r="G20" s="366" t="str">
        <v>Hi comp</v>
      </c>
      <c r="H20" s="366" t="str">
        <v>Y</v>
      </c>
      <c r="I20" s="366"/>
      <c r="J20" s="366"/>
      <c r="K20" s="366"/>
      <c r="L20" s="366"/>
      <c r="M20" s="366"/>
      <c r="N20" s="366"/>
      <c r="O20" s="366"/>
      <c r="P20" s="366"/>
      <c r="Q20" s="366"/>
      <c r="R20" s="366"/>
      <c r="S20" s="366"/>
      <c r="T20" s="366"/>
      <c r="U20" s="366"/>
      <c r="V20" s="366"/>
      <c r="W20" s="366"/>
      <c r="X20" s="366"/>
      <c r="Y20" s="366"/>
      <c r="Z20" s="366"/>
    </row>
    <row r="21" spans="1:26" ht="43.5" x14ac:dyDescent="0.35">
      <c r="A21" s="352" t="s">
        <v>32</v>
      </c>
      <c r="B21" s="370" t="s">
        <v>31</v>
      </c>
      <c r="C21" s="366" t="str">
        <v>Min comp</v>
      </c>
      <c r="D21" s="366" t="str">
        <v>N</v>
      </c>
      <c r="E21" s="366" t="str">
        <v>Comp</v>
      </c>
      <c r="F21" s="366" t="str">
        <v>N</v>
      </c>
      <c r="G21" s="366" t="str">
        <v>Comp</v>
      </c>
      <c r="H21" s="366" t="str">
        <v>N</v>
      </c>
      <c r="I21" s="366"/>
      <c r="J21" s="366"/>
      <c r="K21" s="366"/>
      <c r="L21" s="366"/>
      <c r="M21" s="366"/>
      <c r="N21" s="366"/>
      <c r="O21" s="366"/>
      <c r="P21" s="366"/>
      <c r="Q21" s="366"/>
      <c r="R21" s="366"/>
      <c r="S21" s="366"/>
      <c r="T21" s="366"/>
      <c r="U21" s="366"/>
      <c r="V21" s="366"/>
      <c r="W21" s="366"/>
      <c r="X21" s="366"/>
      <c r="Y21" s="366"/>
      <c r="Z21" s="366"/>
    </row>
    <row r="22" spans="1:26" ht="58" x14ac:dyDescent="0.35">
      <c r="A22" s="352" t="s">
        <v>34</v>
      </c>
      <c r="B22" s="370" t="s">
        <v>33</v>
      </c>
      <c r="C22" s="366" t="str">
        <v>Min comp</v>
      </c>
      <c r="D22" s="366" t="str">
        <v>Y</v>
      </c>
      <c r="E22" s="366" t="str">
        <v>Comp</v>
      </c>
      <c r="F22" s="366" t="str">
        <v>Y</v>
      </c>
      <c r="G22" s="366" t="str">
        <v>Hi comp</v>
      </c>
      <c r="H22" s="366" t="str">
        <v>Y</v>
      </c>
      <c r="I22" s="366"/>
      <c r="J22" s="366"/>
      <c r="K22" s="366"/>
      <c r="L22" s="366"/>
      <c r="M22" s="366"/>
      <c r="N22" s="366"/>
      <c r="O22" s="366"/>
      <c r="P22" s="366"/>
      <c r="Q22" s="366"/>
      <c r="R22" s="366"/>
      <c r="S22" s="366"/>
      <c r="T22" s="366"/>
      <c r="U22" s="366"/>
      <c r="V22" s="366"/>
      <c r="W22" s="366"/>
      <c r="X22" s="366"/>
      <c r="Y22" s="366"/>
      <c r="Z22" s="366"/>
    </row>
    <row r="23" spans="1:26" ht="29" x14ac:dyDescent="0.35">
      <c r="A23" s="352" t="s">
        <v>36</v>
      </c>
      <c r="B23" s="370" t="s">
        <v>35</v>
      </c>
      <c r="C23" s="366" t="str">
        <v>Hi comp</v>
      </c>
      <c r="D23" s="366" t="str">
        <v>Y</v>
      </c>
      <c r="E23" s="366" t="str">
        <v>Hi comp</v>
      </c>
      <c r="F23" s="366" t="str">
        <v>Y</v>
      </c>
      <c r="G23" s="366" t="str">
        <v>Hi comp</v>
      </c>
      <c r="H23" s="366" t="str">
        <v>Y</v>
      </c>
      <c r="I23" s="366"/>
      <c r="J23" s="366"/>
      <c r="K23" s="366"/>
      <c r="L23" s="366"/>
      <c r="M23" s="366"/>
      <c r="N23" s="366"/>
      <c r="O23" s="366"/>
      <c r="P23" s="366"/>
      <c r="Q23" s="366"/>
      <c r="R23" s="366"/>
      <c r="S23" s="366"/>
      <c r="T23" s="366"/>
      <c r="U23" s="366"/>
      <c r="V23" s="366"/>
      <c r="W23" s="366"/>
      <c r="X23" s="366"/>
      <c r="Y23" s="366"/>
      <c r="Z23" s="366"/>
    </row>
    <row r="24" spans="1:26" ht="43.5" x14ac:dyDescent="0.35">
      <c r="A24" s="352" t="s">
        <v>38</v>
      </c>
      <c r="B24" s="370" t="s">
        <v>37</v>
      </c>
      <c r="C24" s="366" t="str">
        <v>Comp</v>
      </c>
      <c r="D24" s="366" t="str">
        <v>Y</v>
      </c>
      <c r="E24" s="366" t="str">
        <v>Comp</v>
      </c>
      <c r="F24" s="366" t="str">
        <v>Y</v>
      </c>
      <c r="G24" s="366" t="str">
        <v>Hi comp</v>
      </c>
      <c r="H24" s="366" t="str">
        <v>Y</v>
      </c>
      <c r="I24" s="366"/>
      <c r="J24" s="366"/>
      <c r="K24" s="366"/>
      <c r="L24" s="366"/>
      <c r="M24" s="366"/>
      <c r="N24" s="366"/>
      <c r="O24" s="366"/>
      <c r="P24" s="366"/>
      <c r="Q24" s="366"/>
      <c r="R24" s="366"/>
      <c r="S24" s="366"/>
      <c r="T24" s="366"/>
      <c r="U24" s="366"/>
      <c r="V24" s="366"/>
      <c r="W24" s="366"/>
      <c r="X24" s="366"/>
      <c r="Y24" s="366"/>
      <c r="Z24" s="366"/>
    </row>
    <row r="25" spans="1:26" ht="43.5" x14ac:dyDescent="0.35">
      <c r="A25" s="352" t="s">
        <v>40</v>
      </c>
      <c r="B25" s="370" t="s">
        <v>39</v>
      </c>
      <c r="C25" s="366" t="str">
        <v>Min comp</v>
      </c>
      <c r="D25" s="366" t="str">
        <v>N</v>
      </c>
      <c r="E25" s="366" t="str">
        <v>Min comp</v>
      </c>
      <c r="F25" s="366" t="str">
        <v>N</v>
      </c>
      <c r="G25" s="366" t="str">
        <v>Min comp</v>
      </c>
      <c r="H25" s="366" t="str">
        <v>N</v>
      </c>
      <c r="I25" s="366"/>
      <c r="J25" s="366"/>
      <c r="K25" s="366"/>
      <c r="L25" s="366"/>
      <c r="M25" s="366"/>
      <c r="N25" s="366"/>
      <c r="O25" s="366"/>
      <c r="P25" s="366"/>
      <c r="Q25" s="366"/>
      <c r="R25" s="366"/>
      <c r="S25" s="366"/>
      <c r="T25" s="366"/>
      <c r="U25" s="366"/>
      <c r="V25" s="366"/>
      <c r="W25" s="366"/>
      <c r="X25" s="366"/>
      <c r="Y25" s="366"/>
      <c r="Z25" s="366"/>
    </row>
    <row r="26" spans="1:26" ht="43.5" x14ac:dyDescent="0.35">
      <c r="A26" s="352" t="s">
        <v>42</v>
      </c>
      <c r="B26" s="370" t="s">
        <v>41</v>
      </c>
      <c r="C26" s="366" t="str">
        <v>Hi comp</v>
      </c>
      <c r="D26" s="366" t="str">
        <v>Y</v>
      </c>
      <c r="E26" s="366" t="str">
        <v>Hi comp</v>
      </c>
      <c r="F26" s="366" t="str">
        <v>Y</v>
      </c>
      <c r="G26" s="366" t="str">
        <v>Hi comp</v>
      </c>
      <c r="H26" s="366" t="str">
        <v>Y</v>
      </c>
      <c r="I26" s="366"/>
      <c r="J26" s="366"/>
      <c r="K26" s="366"/>
      <c r="L26" s="366"/>
      <c r="M26" s="366"/>
      <c r="N26" s="366"/>
      <c r="O26" s="366"/>
      <c r="P26" s="366"/>
      <c r="Q26" s="366"/>
      <c r="R26" s="366"/>
      <c r="S26" s="366"/>
      <c r="T26" s="366"/>
      <c r="U26" s="366"/>
      <c r="V26" s="366"/>
      <c r="W26" s="366"/>
      <c r="X26" s="366"/>
      <c r="Y26" s="366"/>
      <c r="Z26" s="366"/>
    </row>
    <row r="27" spans="1:26" ht="29" x14ac:dyDescent="0.35">
      <c r="A27" s="352" t="s">
        <v>44</v>
      </c>
      <c r="B27" s="370" t="s">
        <v>43</v>
      </c>
      <c r="C27" s="366" t="str">
        <v>Comp</v>
      </c>
      <c r="D27" s="366" t="str">
        <v>Y</v>
      </c>
      <c r="E27" s="366" t="str">
        <v>Hi comp</v>
      </c>
      <c r="F27" s="366" t="str">
        <v>Y</v>
      </c>
      <c r="G27" s="366" t="str">
        <v>Hi comp</v>
      </c>
      <c r="H27" s="366" t="str">
        <v>Y</v>
      </c>
      <c r="I27" s="366"/>
      <c r="J27" s="366"/>
      <c r="K27" s="366"/>
      <c r="L27" s="366"/>
      <c r="M27" s="366"/>
      <c r="N27" s="366"/>
      <c r="O27" s="366"/>
      <c r="P27" s="366"/>
      <c r="Q27" s="366"/>
      <c r="R27" s="366"/>
      <c r="S27" s="366"/>
      <c r="T27" s="366"/>
      <c r="U27" s="366"/>
      <c r="V27" s="366"/>
      <c r="W27" s="366"/>
      <c r="X27" s="366"/>
      <c r="Y27" s="366"/>
      <c r="Z27" s="366"/>
    </row>
    <row r="28" spans="1:26" ht="29" x14ac:dyDescent="0.35">
      <c r="A28" s="352" t="s">
        <v>46</v>
      </c>
      <c r="B28" s="370" t="s">
        <v>45</v>
      </c>
      <c r="C28" s="366" t="str">
        <v>Comp</v>
      </c>
      <c r="D28" s="366" t="str">
        <v>Y</v>
      </c>
      <c r="E28" s="366" t="str">
        <v>Comp</v>
      </c>
      <c r="F28" s="366" t="str">
        <v>Y</v>
      </c>
      <c r="G28" s="366" t="str">
        <v>Comp</v>
      </c>
      <c r="H28" s="366" t="str">
        <v>Y</v>
      </c>
      <c r="I28" s="366"/>
      <c r="J28" s="366"/>
      <c r="K28" s="366"/>
      <c r="L28" s="366"/>
      <c r="M28" s="366"/>
      <c r="N28" s="366"/>
      <c r="O28" s="366"/>
      <c r="P28" s="366"/>
      <c r="Q28" s="366"/>
      <c r="R28" s="366"/>
      <c r="S28" s="366"/>
      <c r="T28" s="366"/>
      <c r="U28" s="366"/>
      <c r="V28" s="366"/>
      <c r="W28" s="366"/>
      <c r="X28" s="366"/>
      <c r="Y28" s="366"/>
      <c r="Z28" s="366"/>
    </row>
    <row r="29" spans="1:26" ht="43.5" x14ac:dyDescent="0.35">
      <c r="A29" s="352" t="s">
        <v>48</v>
      </c>
      <c r="B29" s="370" t="s">
        <v>47</v>
      </c>
      <c r="C29" s="366" t="str">
        <v>Comp</v>
      </c>
      <c r="D29" s="366" t="str">
        <v>Y</v>
      </c>
      <c r="E29" s="366" t="str">
        <v>Comp</v>
      </c>
      <c r="F29" s="366" t="str">
        <v>Y</v>
      </c>
      <c r="G29" s="366" t="str">
        <v>Comp</v>
      </c>
      <c r="H29" s="366" t="str">
        <v>Y</v>
      </c>
      <c r="I29" s="366"/>
      <c r="J29" s="366"/>
      <c r="K29" s="366"/>
      <c r="L29" s="366"/>
      <c r="M29" s="366"/>
      <c r="N29" s="366"/>
      <c r="O29" s="366"/>
      <c r="P29" s="366"/>
      <c r="Q29" s="366"/>
      <c r="R29" s="366"/>
      <c r="S29" s="366"/>
      <c r="T29" s="366"/>
      <c r="U29" s="366"/>
      <c r="V29" s="366"/>
      <c r="W29" s="366"/>
      <c r="X29" s="366"/>
      <c r="Y29" s="366"/>
      <c r="Z29" s="366"/>
    </row>
    <row r="30" spans="1:26" ht="43.5" x14ac:dyDescent="0.35">
      <c r="A30" s="353" t="s">
        <v>50</v>
      </c>
      <c r="B30" s="371" t="s">
        <v>49</v>
      </c>
      <c r="C30" s="366" t="str">
        <v>Hi comp</v>
      </c>
      <c r="D30" s="366" t="str">
        <v>Y</v>
      </c>
      <c r="E30" s="366" t="str">
        <v>Hi comp</v>
      </c>
      <c r="F30" s="366" t="str">
        <v>Y</v>
      </c>
      <c r="G30" s="366" t="str">
        <v>Hi comp</v>
      </c>
      <c r="H30" s="366" t="str">
        <v>Y</v>
      </c>
      <c r="I30" s="366"/>
      <c r="J30" s="366"/>
      <c r="K30" s="366"/>
      <c r="L30" s="366"/>
      <c r="M30" s="366"/>
      <c r="N30" s="366"/>
      <c r="O30" s="366"/>
      <c r="P30" s="366"/>
      <c r="Q30" s="366"/>
      <c r="R30" s="366"/>
      <c r="S30" s="366"/>
      <c r="T30" s="366"/>
      <c r="U30" s="366"/>
      <c r="V30" s="366"/>
      <c r="W30" s="366"/>
      <c r="X30" s="366"/>
      <c r="Y30" s="366"/>
      <c r="Z30" s="366"/>
    </row>
    <row r="31" spans="1:26" ht="29" x14ac:dyDescent="0.35">
      <c r="A31" s="354" t="s">
        <v>52</v>
      </c>
      <c r="B31" s="372" t="s">
        <v>51</v>
      </c>
      <c r="C31" s="366" t="str">
        <v>Comp</v>
      </c>
      <c r="D31" s="366" t="str">
        <v>N</v>
      </c>
      <c r="E31" s="366" t="str">
        <v>Comp</v>
      </c>
      <c r="F31" s="366" t="str">
        <v>N</v>
      </c>
      <c r="G31" s="366" t="str">
        <v>Comp</v>
      </c>
      <c r="H31" s="366" t="str">
        <v>N</v>
      </c>
      <c r="I31" s="366"/>
      <c r="J31" s="366"/>
      <c r="K31" s="366"/>
      <c r="L31" s="366"/>
      <c r="M31" s="366"/>
      <c r="N31" s="366"/>
      <c r="O31" s="366"/>
      <c r="P31" s="366"/>
      <c r="Q31" s="366"/>
      <c r="R31" s="366"/>
      <c r="S31" s="366"/>
      <c r="T31" s="366"/>
      <c r="U31" s="366"/>
      <c r="V31" s="366"/>
      <c r="W31" s="366"/>
      <c r="X31" s="366"/>
      <c r="Y31" s="366"/>
      <c r="Z31" s="366"/>
    </row>
    <row r="32" spans="1:26" ht="43.5" x14ac:dyDescent="0.35">
      <c r="A32" s="349" t="s">
        <v>54</v>
      </c>
      <c r="B32" s="373" t="s">
        <v>53</v>
      </c>
      <c r="C32" s="366" t="str">
        <v>Hi comp</v>
      </c>
      <c r="D32" s="366" t="str">
        <v>Y</v>
      </c>
      <c r="E32" s="366" t="str">
        <v>Hi comp</v>
      </c>
      <c r="F32" s="366" t="str">
        <v>Y</v>
      </c>
      <c r="G32" s="366" t="str">
        <v>Hi comp</v>
      </c>
      <c r="H32" s="366" t="str">
        <v>Y</v>
      </c>
      <c r="I32" s="366"/>
      <c r="J32" s="366"/>
      <c r="K32" s="366"/>
      <c r="L32" s="366"/>
      <c r="M32" s="366"/>
      <c r="N32" s="366"/>
      <c r="O32" s="366"/>
      <c r="P32" s="366"/>
      <c r="Q32" s="366"/>
      <c r="R32" s="366"/>
      <c r="S32" s="366"/>
      <c r="T32" s="366"/>
      <c r="U32" s="366"/>
      <c r="V32" s="366"/>
      <c r="W32" s="366"/>
      <c r="X32" s="366"/>
      <c r="Y32" s="366"/>
      <c r="Z32" s="366"/>
    </row>
    <row r="33" spans="1:26" ht="29" x14ac:dyDescent="0.35">
      <c r="A33" s="349" t="s">
        <v>56</v>
      </c>
      <c r="B33" s="373" t="s">
        <v>55</v>
      </c>
      <c r="C33" s="366" t="str">
        <v>Comp</v>
      </c>
      <c r="D33" s="366" t="str">
        <v>Y</v>
      </c>
      <c r="E33" s="366" t="str">
        <v>Hi comp</v>
      </c>
      <c r="F33" s="366" t="str">
        <v>Y</v>
      </c>
      <c r="G33" s="366" t="str">
        <v>Hi comp</v>
      </c>
      <c r="H33" s="366" t="str">
        <v>Y</v>
      </c>
      <c r="I33" s="366"/>
      <c r="J33" s="366"/>
      <c r="K33" s="366"/>
      <c r="L33" s="366"/>
      <c r="M33" s="366"/>
      <c r="N33" s="366"/>
      <c r="O33" s="366"/>
      <c r="P33" s="366"/>
      <c r="Q33" s="366"/>
      <c r="R33" s="366"/>
      <c r="S33" s="366"/>
      <c r="T33" s="366"/>
      <c r="U33" s="366"/>
      <c r="V33" s="366"/>
      <c r="W33" s="366"/>
      <c r="X33" s="366"/>
      <c r="Y33" s="366"/>
      <c r="Z33" s="366"/>
    </row>
    <row r="34" spans="1:26" ht="29" x14ac:dyDescent="0.35">
      <c r="A34" s="349" t="s">
        <v>58</v>
      </c>
      <c r="B34" s="373" t="s">
        <v>57</v>
      </c>
      <c r="C34" s="366" t="str">
        <v>Min comp</v>
      </c>
      <c r="D34" s="366" t="str">
        <v>Y</v>
      </c>
      <c r="E34" s="366" t="str">
        <v>Comp</v>
      </c>
      <c r="F34" s="366" t="str">
        <v>Y</v>
      </c>
      <c r="G34" s="366" t="str">
        <v>Hi comp</v>
      </c>
      <c r="H34" s="366" t="str">
        <v>Y</v>
      </c>
      <c r="I34" s="366"/>
      <c r="J34" s="366"/>
      <c r="K34" s="366"/>
      <c r="L34" s="366"/>
      <c r="M34" s="366"/>
      <c r="N34" s="366"/>
      <c r="O34" s="366"/>
      <c r="P34" s="366"/>
      <c r="Q34" s="366"/>
      <c r="R34" s="366"/>
      <c r="S34" s="366"/>
      <c r="T34" s="366"/>
      <c r="U34" s="366"/>
      <c r="V34" s="366"/>
      <c r="W34" s="366"/>
      <c r="X34" s="366"/>
      <c r="Y34" s="366"/>
      <c r="Z34" s="366"/>
    </row>
    <row r="35" spans="1:26" ht="29" x14ac:dyDescent="0.35">
      <c r="A35" s="349" t="s">
        <v>60</v>
      </c>
      <c r="B35" s="373" t="s">
        <v>59</v>
      </c>
      <c r="C35" s="366" t="str">
        <v>Comp</v>
      </c>
      <c r="D35" s="366" t="str">
        <v>Y</v>
      </c>
      <c r="E35" s="366" t="str">
        <v>Comp</v>
      </c>
      <c r="F35" s="366" t="str">
        <v>Y</v>
      </c>
      <c r="G35" s="366" t="str">
        <v>Comp</v>
      </c>
      <c r="H35" s="366" t="str">
        <v>Y</v>
      </c>
      <c r="I35" s="366"/>
      <c r="J35" s="366"/>
      <c r="K35" s="366"/>
      <c r="L35" s="366"/>
      <c r="M35" s="366"/>
      <c r="N35" s="366"/>
      <c r="O35" s="366"/>
      <c r="P35" s="366"/>
      <c r="Q35" s="366"/>
      <c r="R35" s="366"/>
      <c r="S35" s="366"/>
      <c r="T35" s="366"/>
      <c r="U35" s="366"/>
      <c r="V35" s="366"/>
      <c r="W35" s="366"/>
      <c r="X35" s="366"/>
      <c r="Y35" s="366"/>
      <c r="Z35" s="366"/>
    </row>
    <row r="36" spans="1:26" ht="58" x14ac:dyDescent="0.35">
      <c r="A36" s="349" t="s">
        <v>62</v>
      </c>
      <c r="B36" s="373" t="s">
        <v>61</v>
      </c>
      <c r="C36" s="366" t="str">
        <v>Comp</v>
      </c>
      <c r="D36" s="366" t="str">
        <v>Y</v>
      </c>
      <c r="E36" s="366" t="str">
        <v>Comp</v>
      </c>
      <c r="F36" s="366" t="str">
        <v>Y</v>
      </c>
      <c r="G36" s="366" t="str">
        <v>Comp</v>
      </c>
      <c r="H36" s="366" t="str">
        <v>Y</v>
      </c>
      <c r="I36" s="366"/>
      <c r="J36" s="366"/>
      <c r="K36" s="366"/>
      <c r="L36" s="366"/>
      <c r="M36" s="366"/>
      <c r="N36" s="366"/>
      <c r="O36" s="366"/>
      <c r="P36" s="366"/>
      <c r="Q36" s="366"/>
      <c r="R36" s="366"/>
      <c r="S36" s="366"/>
      <c r="T36" s="366"/>
      <c r="U36" s="366"/>
      <c r="V36" s="366"/>
      <c r="W36" s="366"/>
      <c r="X36" s="366"/>
      <c r="Y36" s="366"/>
      <c r="Z36" s="366"/>
    </row>
    <row r="37" spans="1:26" ht="43.5" x14ac:dyDescent="0.35">
      <c r="A37" s="349" t="s">
        <v>64</v>
      </c>
      <c r="B37" s="373" t="s">
        <v>63</v>
      </c>
      <c r="C37" s="366" t="str">
        <v>Comp</v>
      </c>
      <c r="D37" s="366" t="str">
        <v>Y</v>
      </c>
      <c r="E37" s="366" t="str">
        <v>Comp</v>
      </c>
      <c r="F37" s="366" t="str">
        <v>Y</v>
      </c>
      <c r="G37" s="366" t="str">
        <v>Comp</v>
      </c>
      <c r="H37" s="366" t="str">
        <v>Y</v>
      </c>
      <c r="I37" s="366"/>
      <c r="J37" s="366"/>
      <c r="K37" s="366"/>
      <c r="L37" s="366"/>
      <c r="M37" s="366"/>
      <c r="N37" s="366"/>
      <c r="O37" s="366"/>
      <c r="P37" s="366"/>
      <c r="Q37" s="366"/>
      <c r="R37" s="366"/>
      <c r="S37" s="366"/>
      <c r="T37" s="366"/>
      <c r="U37" s="366"/>
      <c r="V37" s="366"/>
      <c r="W37" s="366"/>
      <c r="X37" s="366"/>
      <c r="Y37" s="366"/>
      <c r="Z37" s="366"/>
    </row>
    <row r="38" spans="1:26" ht="43.5" x14ac:dyDescent="0.35">
      <c r="A38" s="349" t="s">
        <v>66</v>
      </c>
      <c r="B38" s="373" t="s">
        <v>65</v>
      </c>
      <c r="C38" s="366" t="str">
        <v>Comp</v>
      </c>
      <c r="D38" s="366" t="str">
        <v>Y</v>
      </c>
      <c r="E38" s="366" t="str">
        <v>Comp</v>
      </c>
      <c r="F38" s="366" t="str">
        <v>Y</v>
      </c>
      <c r="G38" s="366" t="str">
        <v>Hi comp</v>
      </c>
      <c r="H38" s="366" t="str">
        <v>Y</v>
      </c>
      <c r="I38" s="366"/>
      <c r="J38" s="366"/>
      <c r="K38" s="366"/>
      <c r="L38" s="366"/>
      <c r="M38" s="366"/>
      <c r="N38" s="366"/>
      <c r="O38" s="366"/>
      <c r="P38" s="366"/>
      <c r="Q38" s="366"/>
      <c r="R38" s="366"/>
      <c r="S38" s="366"/>
      <c r="T38" s="366"/>
      <c r="U38" s="366"/>
      <c r="V38" s="366"/>
      <c r="W38" s="366"/>
      <c r="X38" s="366"/>
      <c r="Y38" s="366"/>
      <c r="Z38" s="366"/>
    </row>
    <row r="39" spans="1:26" ht="58" x14ac:dyDescent="0.35">
      <c r="A39" s="349" t="s">
        <v>68</v>
      </c>
      <c r="B39" s="373" t="s">
        <v>67</v>
      </c>
      <c r="C39" s="366" t="str">
        <v>Comp</v>
      </c>
      <c r="D39" s="366" t="str">
        <v>Y</v>
      </c>
      <c r="E39" s="366" t="str">
        <v>Comp</v>
      </c>
      <c r="F39" s="366" t="str">
        <v>Y</v>
      </c>
      <c r="G39" s="366" t="str">
        <v>Comp</v>
      </c>
      <c r="H39" s="366" t="str">
        <v>Y</v>
      </c>
      <c r="I39" s="366"/>
      <c r="J39" s="366"/>
      <c r="K39" s="366"/>
      <c r="L39" s="366"/>
      <c r="M39" s="366"/>
      <c r="N39" s="366"/>
      <c r="O39" s="366"/>
      <c r="P39" s="366"/>
      <c r="Q39" s="366"/>
      <c r="R39" s="366"/>
      <c r="S39" s="366"/>
      <c r="T39" s="366"/>
      <c r="U39" s="366"/>
      <c r="V39" s="366"/>
      <c r="W39" s="366"/>
      <c r="X39" s="366"/>
      <c r="Y39" s="366"/>
      <c r="Z39" s="366"/>
    </row>
    <row r="40" spans="1:26" ht="43.5" x14ac:dyDescent="0.35">
      <c r="A40" s="349" t="s">
        <v>70</v>
      </c>
      <c r="B40" s="373" t="s">
        <v>69</v>
      </c>
      <c r="C40" s="366" t="str">
        <v>Comp</v>
      </c>
      <c r="D40" s="366" t="str">
        <v>Y</v>
      </c>
      <c r="E40" s="366" t="str">
        <v>Comp</v>
      </c>
      <c r="F40" s="366" t="str">
        <v>Y</v>
      </c>
      <c r="G40" s="366" t="str">
        <v>Comp</v>
      </c>
      <c r="H40" s="366" t="str">
        <v>Y</v>
      </c>
      <c r="I40" s="366"/>
      <c r="J40" s="366"/>
      <c r="K40" s="366"/>
      <c r="L40" s="366"/>
      <c r="M40" s="366"/>
      <c r="N40" s="366"/>
      <c r="O40" s="366"/>
      <c r="P40" s="366"/>
      <c r="Q40" s="366"/>
      <c r="R40" s="366"/>
      <c r="S40" s="366"/>
      <c r="T40" s="366"/>
      <c r="U40" s="366"/>
      <c r="V40" s="366"/>
      <c r="W40" s="366"/>
      <c r="X40" s="366"/>
      <c r="Y40" s="366"/>
      <c r="Z40" s="366"/>
    </row>
    <row r="41" spans="1:26" ht="43.5" x14ac:dyDescent="0.35">
      <c r="A41" s="349" t="s">
        <v>72</v>
      </c>
      <c r="B41" s="373" t="s">
        <v>71</v>
      </c>
      <c r="C41" s="366" t="str">
        <v>Hi comp</v>
      </c>
      <c r="D41" s="366" t="str">
        <v>Y</v>
      </c>
      <c r="E41" s="366" t="str">
        <v>Hi comp</v>
      </c>
      <c r="F41" s="366" t="str">
        <v>Y</v>
      </c>
      <c r="G41" s="366" t="str">
        <v>Comp</v>
      </c>
      <c r="H41" s="366" t="str">
        <v>Y</v>
      </c>
      <c r="I41" s="366"/>
      <c r="J41" s="366"/>
      <c r="K41" s="366"/>
      <c r="L41" s="366"/>
      <c r="M41" s="366"/>
      <c r="N41" s="366"/>
      <c r="O41" s="366"/>
      <c r="P41" s="366"/>
      <c r="Q41" s="366"/>
      <c r="R41" s="366"/>
      <c r="S41" s="366"/>
      <c r="T41" s="366"/>
      <c r="U41" s="366"/>
      <c r="V41" s="366"/>
      <c r="W41" s="366"/>
      <c r="X41" s="366"/>
      <c r="Y41" s="366"/>
      <c r="Z41" s="366"/>
    </row>
    <row r="42" spans="1:26" ht="29" x14ac:dyDescent="0.35">
      <c r="A42" s="349" t="s">
        <v>74</v>
      </c>
      <c r="B42" s="373" t="s">
        <v>73</v>
      </c>
      <c r="C42" s="366" t="str">
        <v>Comp</v>
      </c>
      <c r="D42" s="366" t="str">
        <v>Y</v>
      </c>
      <c r="E42" s="366" t="str">
        <v>Comp</v>
      </c>
      <c r="F42" s="366" t="str">
        <v>Y</v>
      </c>
      <c r="G42" s="366" t="str">
        <v>Comp</v>
      </c>
      <c r="H42" s="366" t="str">
        <v>Y</v>
      </c>
      <c r="I42" s="366"/>
      <c r="J42" s="366"/>
      <c r="K42" s="366"/>
      <c r="L42" s="366"/>
      <c r="M42" s="366"/>
      <c r="N42" s="366"/>
      <c r="O42" s="366"/>
      <c r="P42" s="366"/>
      <c r="Q42" s="366"/>
      <c r="R42" s="366"/>
      <c r="S42" s="366"/>
      <c r="T42" s="366"/>
      <c r="U42" s="366"/>
      <c r="V42" s="366"/>
      <c r="W42" s="366"/>
      <c r="X42" s="366"/>
      <c r="Y42" s="366"/>
      <c r="Z42" s="366"/>
    </row>
    <row r="43" spans="1:26" ht="43.5" x14ac:dyDescent="0.35">
      <c r="A43" s="355" t="s">
        <v>76</v>
      </c>
      <c r="B43" s="374" t="s">
        <v>75</v>
      </c>
      <c r="C43" s="366" t="str">
        <v>Min comp</v>
      </c>
      <c r="D43" s="366" t="str">
        <v>N</v>
      </c>
      <c r="E43" s="366" t="str">
        <v>Min comp</v>
      </c>
      <c r="F43" s="366" t="str">
        <v>N</v>
      </c>
      <c r="G43" s="366" t="str">
        <v>Min comp</v>
      </c>
      <c r="H43" s="366" t="str">
        <v>N</v>
      </c>
      <c r="I43" s="366"/>
      <c r="J43" s="366"/>
      <c r="K43" s="366"/>
      <c r="L43" s="366"/>
      <c r="M43" s="366"/>
      <c r="N43" s="366"/>
      <c r="O43" s="366"/>
      <c r="P43" s="366"/>
      <c r="Q43" s="366"/>
      <c r="R43" s="366"/>
      <c r="S43" s="366"/>
      <c r="T43" s="366"/>
      <c r="U43" s="366"/>
      <c r="V43" s="366"/>
      <c r="W43" s="366"/>
      <c r="X43" s="366"/>
      <c r="Y43" s="366"/>
      <c r="Z43" s="366"/>
    </row>
    <row r="44" spans="1:26" x14ac:dyDescent="0.35"/>
    <row r="45" spans="1:26" x14ac:dyDescent="0.35">
      <c r="A45" s="269" t="s">
        <v>150</v>
      </c>
      <c r="I45" s="127"/>
    </row>
    <row r="46" spans="1:26" x14ac:dyDescent="0.35"/>
  </sheetData>
  <sheetProtection sheet="1" formatCells="0" formatColumns="0" formatRows="0"/>
  <conditionalFormatting sqref="C6:Y43">
    <cfRule type="expression" dxfId="28" priority="19">
      <formula>AND(C$7&lt;&gt;"",C$6&lt;&gt;B$6)</formula>
    </cfRule>
    <cfRule type="expression" dxfId="27" priority="20">
      <formula>AND(C$7&lt;&gt;"",C$6&lt;&gt;D$6)</formula>
    </cfRule>
  </conditionalFormatting>
  <conditionalFormatting sqref="C6:Z7">
    <cfRule type="expression" dxfId="26" priority="16">
      <formula>C$7&lt;&gt;""</formula>
    </cfRule>
  </conditionalFormatting>
  <conditionalFormatting sqref="C8:Z42">
    <cfRule type="expression" dxfId="25" priority="27">
      <formula>AND(C$7&lt;&gt;"",LEFT($B8)&lt;&gt;LEFT($B9))</formula>
    </cfRule>
    <cfRule type="expression" dxfId="24" priority="28">
      <formula>C$7&lt;&gt;""</formula>
    </cfRule>
  </conditionalFormatting>
  <conditionalFormatting sqref="C8:Z43">
    <cfRule type="expression" dxfId="23" priority="25">
      <formula>C8="Min comp"</formula>
    </cfRule>
    <cfRule type="expression" dxfId="22" priority="26">
      <formula>C8="Hi comp"</formula>
    </cfRule>
  </conditionalFormatting>
  <conditionalFormatting sqref="C43:Z43">
    <cfRule type="expression" dxfId="21" priority="139">
      <formula>AND(C$7&lt;&gt;"",LEFT($B43)&lt;&gt;LEFT($T45))</formula>
    </cfRule>
    <cfRule type="expression" dxfId="20" priority="140">
      <formula>C$7&lt;&gt;""</formula>
    </cfRule>
  </conditionalFormatting>
  <conditionalFormatting sqref="D6:Z6">
    <cfRule type="expression" dxfId="19" priority="15">
      <formula>D6=C6</formula>
    </cfRule>
  </conditionalFormatting>
  <conditionalFormatting sqref="Z6:Z43">
    <cfRule type="expression" dxfId="18" priority="135">
      <formula>AND(Z$7&lt;&gt;"",Z$6&lt;&gt;Y$6)</formula>
    </cfRule>
    <cfRule type="expression" dxfId="17" priority="136">
      <formula>AND(Z$7&lt;&gt;"",Z$6&lt;&gt;#REF!)</formula>
    </cfRule>
  </conditionalFormatting>
  <dataValidations count="1">
    <dataValidation type="list" allowBlank="1" showInputMessage="1" showErrorMessage="1" sqref="C4:E4" xr:uid="{B128D913-033A-49FF-AAFF-FA2F3434E5F0}">
      <formula1>"Yes,No"</formula1>
    </dataValidation>
  </dataValidations>
  <pageMargins left="0.25" right="0.25" top="0.75" bottom="0.75" header="0.3" footer="0.3"/>
  <pageSetup scale="77" fitToWidth="0" fitToHeight="0" orientation="landscape" horizontalDpi="4294967293" verticalDpi="0" r:id="rId1"/>
  <headerFooter>
    <oddHeader>&amp;LOverview of Data Entered&amp;RPrinted on: &amp;D</oddHeader>
    <oddFooter>&amp;CPage &amp;P of &amp;N</oddFooter>
  </headerFooter>
  <rowBreaks count="2" manualBreakCount="2">
    <brk id="17" max="16383" man="1"/>
    <brk id="30" max="16383" man="1"/>
  </rowBreaks>
  <colBreaks count="1" manualBreakCount="1">
    <brk id="14"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FF996-25C0-45A5-B8CC-B7E92102E338}">
  <sheetPr>
    <tabColor rgb="FF00B0F0"/>
  </sheetPr>
  <dimension ref="A1:K41"/>
  <sheetViews>
    <sheetView showGridLines="0" zoomScaleNormal="100" workbookViewId="0">
      <pane ySplit="4" topLeftCell="A5" activePane="bottomLeft" state="frozen"/>
      <selection pane="bottomLeft"/>
    </sheetView>
  </sheetViews>
  <sheetFormatPr defaultRowHeight="14.5" x14ac:dyDescent="0.35"/>
  <cols>
    <col min="1" max="1" width="12" bestFit="1" customWidth="1"/>
    <col min="2" max="2" width="71.6328125" customWidth="1"/>
    <col min="3" max="3" width="9.6328125" customWidth="1"/>
    <col min="4" max="4" width="11.7265625" customWidth="1"/>
    <col min="5" max="5" width="11.36328125" customWidth="1"/>
    <col min="7" max="7" width="62.90625" customWidth="1"/>
    <col min="8" max="8" width="11.36328125" customWidth="1"/>
  </cols>
  <sheetData>
    <row r="1" spans="1:11" x14ac:dyDescent="0.35">
      <c r="A1" s="121" t="s">
        <v>109</v>
      </c>
      <c r="K1" s="64" cm="1">
        <f t="array" ref="K1">_xlfn.TAKE(_xlfn._xlws.SORT(TRANSPOSE(_xlfn._xlws.FILTER(calc!B12:I12,calc!B11:I11=MAX(calc!B11:I11),"")),,-1,),1)</f>
        <v>3</v>
      </c>
    </row>
    <row r="2" spans="1:11" ht="58.5" thickBot="1" x14ac:dyDescent="0.4">
      <c r="A2" s="31" t="s">
        <v>108</v>
      </c>
      <c r="B2" s="120"/>
      <c r="C2" s="123" cm="1">
        <f t="array" ref="C2">_xlfn.TAKE(_xlfn._xlws.SORT(TRANSPOSE(_xlfn._xlws.FILTER(calc!B11:I11,calc!B11:I11=MAX(calc!B11:I11),"")),,-1,),1)</f>
        <v>45981</v>
      </c>
      <c r="D2" s="116"/>
      <c r="E2" s="115"/>
      <c r="G2" s="124" t="str">
        <f>"Note: This is Self Assessment Round "&amp;K1&amp;" based on the dates entered in each assessment worksheet. If this is not correct, please review the dates for each assessment and make sure the most recent date corresponds with the most recent assessment."</f>
        <v>Note: This is Self Assessment Round 3 based on the dates entered in each assessment worksheet. If this is not correct, please review the dates for each assessment and make sure the most recent date corresponds with the most recent assessment.</v>
      </c>
    </row>
    <row r="3" spans="1:11" x14ac:dyDescent="0.35">
      <c r="A3" s="119" t="s">
        <v>107</v>
      </c>
      <c r="B3" s="118">
        <f ca="1">NOW()</f>
        <v>46232.701076041667</v>
      </c>
      <c r="C3" s="117" t="str">
        <f>'SA1'!$G$3&amp;""</f>
        <v>Data Manager</v>
      </c>
      <c r="D3" s="116"/>
      <c r="E3" s="115"/>
      <c r="J3" s="44"/>
    </row>
    <row r="4" spans="1:11" x14ac:dyDescent="0.35">
      <c r="A4" s="114" t="s">
        <v>98</v>
      </c>
      <c r="B4" s="113" t="s">
        <v>1</v>
      </c>
      <c r="C4" s="112" t="s">
        <v>84</v>
      </c>
      <c r="D4" s="111" t="s">
        <v>85</v>
      </c>
      <c r="E4" s="110" t="s">
        <v>86</v>
      </c>
    </row>
    <row r="5" spans="1:11" x14ac:dyDescent="0.35">
      <c r="A5" s="109" t="s">
        <v>2</v>
      </c>
      <c r="B5" s="95" t="s">
        <v>3</v>
      </c>
      <c r="C5" s="94" t="str" cm="1">
        <f t="array" ref="C5:E40">IFERROR(CHOOSE($K$1,calc!N13:P48,calc!Q13:S48,calc!T13:V48,calc!W13:Y48,calc!Z13:AB48,calc!AC13:AE48,calc!AF13:AH48,calc!AI13:AK48),"")</f>
        <v>Hi comp</v>
      </c>
      <c r="D5" s="94" t="str">
        <v>Y</v>
      </c>
      <c r="E5" s="122" t="str">
        <v/>
      </c>
    </row>
    <row r="6" spans="1:11" ht="28" x14ac:dyDescent="0.35">
      <c r="A6" s="108" t="s">
        <v>5</v>
      </c>
      <c r="B6" s="90" t="s">
        <v>6</v>
      </c>
      <c r="C6" s="89" t="str">
        <v>Hi comp</v>
      </c>
      <c r="D6" s="88" t="str">
        <v>Y</v>
      </c>
      <c r="E6" s="87" t="str">
        <v/>
      </c>
    </row>
    <row r="7" spans="1:11" ht="70" x14ac:dyDescent="0.35">
      <c r="A7" s="108" t="s">
        <v>8</v>
      </c>
      <c r="B7" s="90" t="s">
        <v>9</v>
      </c>
      <c r="C7" s="89" t="str">
        <v>Hi comp</v>
      </c>
      <c r="D7" s="88" t="str">
        <v>Y</v>
      </c>
      <c r="E7" s="87" t="str">
        <v/>
      </c>
    </row>
    <row r="8" spans="1:11" ht="42" x14ac:dyDescent="0.35">
      <c r="A8" s="108" t="s">
        <v>10</v>
      </c>
      <c r="B8" s="90" t="s">
        <v>11</v>
      </c>
      <c r="C8" s="89" t="str">
        <v>Hi comp</v>
      </c>
      <c r="D8" s="88" t="str">
        <v>Y</v>
      </c>
      <c r="E8" s="87" t="str">
        <v/>
      </c>
    </row>
    <row r="9" spans="1:11" ht="56" x14ac:dyDescent="0.35">
      <c r="A9" s="108" t="s">
        <v>12</v>
      </c>
      <c r="B9" s="90" t="s">
        <v>13</v>
      </c>
      <c r="C9" s="89" t="str">
        <v>Comp</v>
      </c>
      <c r="D9" s="88" t="str">
        <v>Y</v>
      </c>
      <c r="E9" s="87" t="str">
        <v>Y</v>
      </c>
    </row>
    <row r="10" spans="1:11" ht="42" x14ac:dyDescent="0.35">
      <c r="A10" s="108" t="s">
        <v>15</v>
      </c>
      <c r="B10" s="90" t="s">
        <v>16</v>
      </c>
      <c r="C10" s="89" t="str">
        <v>Comp</v>
      </c>
      <c r="D10" s="88" t="str">
        <v>Y</v>
      </c>
      <c r="E10" s="87" t="str">
        <v>Y</v>
      </c>
    </row>
    <row r="11" spans="1:11" ht="42" x14ac:dyDescent="0.35">
      <c r="A11" s="108" t="s">
        <v>17</v>
      </c>
      <c r="B11" s="90" t="s">
        <v>18</v>
      </c>
      <c r="C11" s="89" t="str">
        <v>Comp</v>
      </c>
      <c r="D11" s="88" t="str">
        <v>Y</v>
      </c>
      <c r="E11" s="87" t="str">
        <v>Y</v>
      </c>
    </row>
    <row r="12" spans="1:11" ht="42" x14ac:dyDescent="0.35">
      <c r="A12" s="108" t="s">
        <v>19</v>
      </c>
      <c r="B12" s="90" t="s">
        <v>20</v>
      </c>
      <c r="C12" s="89" t="str">
        <v>Comp</v>
      </c>
      <c r="D12" s="88" t="str">
        <v>N</v>
      </c>
      <c r="E12" s="87" t="str">
        <v>N</v>
      </c>
    </row>
    <row r="13" spans="1:11" ht="28" x14ac:dyDescent="0.35">
      <c r="A13" s="108" t="s">
        <v>21</v>
      </c>
      <c r="B13" s="90" t="s">
        <v>22</v>
      </c>
      <c r="C13" s="89" t="str">
        <v>Comp</v>
      </c>
      <c r="D13" s="88" t="str">
        <v>Y</v>
      </c>
      <c r="E13" s="87" t="str">
        <v>Y</v>
      </c>
    </row>
    <row r="14" spans="1:11" ht="56" x14ac:dyDescent="0.35">
      <c r="A14" s="107" t="s">
        <v>23</v>
      </c>
      <c r="B14" s="106" t="s">
        <v>24</v>
      </c>
      <c r="C14" s="99" t="str">
        <v>Hi comp</v>
      </c>
      <c r="D14" s="98" t="str">
        <v>Y</v>
      </c>
      <c r="E14" s="97" t="str">
        <v/>
      </c>
    </row>
    <row r="15" spans="1:11" ht="42" x14ac:dyDescent="0.35">
      <c r="A15" s="105" t="s">
        <v>25</v>
      </c>
      <c r="B15" s="104" t="s">
        <v>26</v>
      </c>
      <c r="C15" s="94" t="str">
        <v>Hi comp</v>
      </c>
      <c r="D15" s="93" t="str">
        <v>Y</v>
      </c>
      <c r="E15" s="92" t="str">
        <v/>
      </c>
    </row>
    <row r="16" spans="1:11" ht="28" x14ac:dyDescent="0.35">
      <c r="A16" s="103" t="s">
        <v>27</v>
      </c>
      <c r="B16" s="102" t="s">
        <v>28</v>
      </c>
      <c r="C16" s="89" t="str">
        <v>Hi comp</v>
      </c>
      <c r="D16" s="88" t="str">
        <v>Y</v>
      </c>
      <c r="E16" s="87" t="str">
        <v/>
      </c>
    </row>
    <row r="17" spans="1:5" ht="28" x14ac:dyDescent="0.35">
      <c r="A17" s="103" t="s">
        <v>29</v>
      </c>
      <c r="B17" s="102" t="s">
        <v>30</v>
      </c>
      <c r="C17" s="89" t="str">
        <v>Hi comp</v>
      </c>
      <c r="D17" s="88" t="str">
        <v>Y</v>
      </c>
      <c r="E17" s="87" t="str">
        <v/>
      </c>
    </row>
    <row r="18" spans="1:5" ht="28" x14ac:dyDescent="0.35">
      <c r="A18" s="103" t="s">
        <v>31</v>
      </c>
      <c r="B18" s="102" t="s">
        <v>32</v>
      </c>
      <c r="C18" s="89" t="str">
        <v>Comp</v>
      </c>
      <c r="D18" s="88" t="str">
        <v>N</v>
      </c>
      <c r="E18" s="87" t="str">
        <v>N</v>
      </c>
    </row>
    <row r="19" spans="1:5" ht="42" x14ac:dyDescent="0.35">
      <c r="A19" s="103" t="s">
        <v>33</v>
      </c>
      <c r="B19" s="102" t="s">
        <v>34</v>
      </c>
      <c r="C19" s="89" t="str">
        <v>Hi comp</v>
      </c>
      <c r="D19" s="88" t="str">
        <v>Y</v>
      </c>
      <c r="E19" s="87" t="str">
        <v/>
      </c>
    </row>
    <row r="20" spans="1:5" ht="28" x14ac:dyDescent="0.35">
      <c r="A20" s="103" t="s">
        <v>35</v>
      </c>
      <c r="B20" s="102" t="s">
        <v>36</v>
      </c>
      <c r="C20" s="89" t="str">
        <v>Hi comp</v>
      </c>
      <c r="D20" s="88" t="str">
        <v>Y</v>
      </c>
      <c r="E20" s="87" t="str">
        <v/>
      </c>
    </row>
    <row r="21" spans="1:5" ht="42" x14ac:dyDescent="0.35">
      <c r="A21" s="103" t="s">
        <v>37</v>
      </c>
      <c r="B21" s="102" t="s">
        <v>38</v>
      </c>
      <c r="C21" s="89" t="str">
        <v>Hi comp</v>
      </c>
      <c r="D21" s="88" t="str">
        <v>Y</v>
      </c>
      <c r="E21" s="87" t="str">
        <v/>
      </c>
    </row>
    <row r="22" spans="1:5" ht="42" x14ac:dyDescent="0.35">
      <c r="A22" s="103" t="s">
        <v>39</v>
      </c>
      <c r="B22" s="102" t="s">
        <v>40</v>
      </c>
      <c r="C22" s="89" t="str">
        <v>Min comp</v>
      </c>
      <c r="D22" s="88" t="str">
        <v>N</v>
      </c>
      <c r="E22" s="87" t="str">
        <v>N</v>
      </c>
    </row>
    <row r="23" spans="1:5" ht="42" x14ac:dyDescent="0.35">
      <c r="A23" s="103" t="s">
        <v>41</v>
      </c>
      <c r="B23" s="102" t="s">
        <v>42</v>
      </c>
      <c r="C23" s="89" t="str">
        <v>Hi comp</v>
      </c>
      <c r="D23" s="88" t="str">
        <v>Y</v>
      </c>
      <c r="E23" s="87" t="str">
        <v/>
      </c>
    </row>
    <row r="24" spans="1:5" ht="28" x14ac:dyDescent="0.35">
      <c r="A24" s="103" t="s">
        <v>43</v>
      </c>
      <c r="B24" s="102" t="s">
        <v>44</v>
      </c>
      <c r="C24" s="89" t="str">
        <v>Hi comp</v>
      </c>
      <c r="D24" s="88" t="str">
        <v>Y</v>
      </c>
      <c r="E24" s="87" t="str">
        <v/>
      </c>
    </row>
    <row r="25" spans="1:5" ht="28" x14ac:dyDescent="0.35">
      <c r="A25" s="103" t="s">
        <v>45</v>
      </c>
      <c r="B25" s="102" t="s">
        <v>46</v>
      </c>
      <c r="C25" s="89" t="str">
        <v>Comp</v>
      </c>
      <c r="D25" s="88" t="str">
        <v>Y</v>
      </c>
      <c r="E25" s="87" t="str">
        <v>Y</v>
      </c>
    </row>
    <row r="26" spans="1:5" ht="28" x14ac:dyDescent="0.35">
      <c r="A26" s="103" t="s">
        <v>47</v>
      </c>
      <c r="B26" s="102" t="s">
        <v>48</v>
      </c>
      <c r="C26" s="89" t="str">
        <v>Comp</v>
      </c>
      <c r="D26" s="88" t="str">
        <v>Y</v>
      </c>
      <c r="E26" s="87" t="str">
        <v>Y</v>
      </c>
    </row>
    <row r="27" spans="1:5" ht="42" x14ac:dyDescent="0.35">
      <c r="A27" s="101" t="s">
        <v>49</v>
      </c>
      <c r="B27" s="100" t="s">
        <v>50</v>
      </c>
      <c r="C27" s="99" t="str">
        <v>Hi comp</v>
      </c>
      <c r="D27" s="98" t="str">
        <v>Y</v>
      </c>
      <c r="E27" s="97" t="str">
        <v/>
      </c>
    </row>
    <row r="28" spans="1:5" ht="28" x14ac:dyDescent="0.35">
      <c r="A28" s="96" t="s">
        <v>51</v>
      </c>
      <c r="B28" s="95" t="s">
        <v>52</v>
      </c>
      <c r="C28" s="94" t="str">
        <v>Comp</v>
      </c>
      <c r="D28" s="93" t="str">
        <v>N</v>
      </c>
      <c r="E28" s="92" t="str">
        <v>N</v>
      </c>
    </row>
    <row r="29" spans="1:5" ht="28" x14ac:dyDescent="0.35">
      <c r="A29" s="91" t="s">
        <v>53</v>
      </c>
      <c r="B29" s="90" t="s">
        <v>54</v>
      </c>
      <c r="C29" s="89" t="str">
        <v>Hi comp</v>
      </c>
      <c r="D29" s="88" t="str">
        <v>Y</v>
      </c>
      <c r="E29" s="87" t="str">
        <v/>
      </c>
    </row>
    <row r="30" spans="1:5" ht="28" x14ac:dyDescent="0.35">
      <c r="A30" s="91" t="s">
        <v>55</v>
      </c>
      <c r="B30" s="90" t="s">
        <v>56</v>
      </c>
      <c r="C30" s="89" t="str">
        <v>Hi comp</v>
      </c>
      <c r="D30" s="88" t="str">
        <v>Y</v>
      </c>
      <c r="E30" s="87" t="str">
        <v/>
      </c>
    </row>
    <row r="31" spans="1:5" ht="28" x14ac:dyDescent="0.35">
      <c r="A31" s="91" t="s">
        <v>57</v>
      </c>
      <c r="B31" s="90" t="s">
        <v>58</v>
      </c>
      <c r="C31" s="89" t="str">
        <v>Hi comp</v>
      </c>
      <c r="D31" s="88" t="str">
        <v>Y</v>
      </c>
      <c r="E31" s="87" t="str">
        <v/>
      </c>
    </row>
    <row r="32" spans="1:5" ht="28" x14ac:dyDescent="0.35">
      <c r="A32" s="91" t="s">
        <v>59</v>
      </c>
      <c r="B32" s="90" t="s">
        <v>60</v>
      </c>
      <c r="C32" s="89" t="str">
        <v>Comp</v>
      </c>
      <c r="D32" s="88" t="str">
        <v>Y</v>
      </c>
      <c r="E32" s="87" t="str">
        <v>Y</v>
      </c>
    </row>
    <row r="33" spans="1:5" ht="42" x14ac:dyDescent="0.35">
      <c r="A33" s="91" t="s">
        <v>61</v>
      </c>
      <c r="B33" s="90" t="s">
        <v>62</v>
      </c>
      <c r="C33" s="89" t="str">
        <v>Comp</v>
      </c>
      <c r="D33" s="88" t="str">
        <v>Y</v>
      </c>
      <c r="E33" s="87" t="str">
        <v>Y</v>
      </c>
    </row>
    <row r="34" spans="1:5" ht="42" x14ac:dyDescent="0.35">
      <c r="A34" s="91" t="s">
        <v>63</v>
      </c>
      <c r="B34" s="90" t="s">
        <v>64</v>
      </c>
      <c r="C34" s="89" t="str">
        <v>Comp</v>
      </c>
      <c r="D34" s="88" t="str">
        <v>Y</v>
      </c>
      <c r="E34" s="87" t="str">
        <v>Y</v>
      </c>
    </row>
    <row r="35" spans="1:5" ht="42" x14ac:dyDescent="0.35">
      <c r="A35" s="91" t="s">
        <v>65</v>
      </c>
      <c r="B35" s="90" t="s">
        <v>66</v>
      </c>
      <c r="C35" s="89" t="str">
        <v>Hi comp</v>
      </c>
      <c r="D35" s="88" t="str">
        <v>Y</v>
      </c>
      <c r="E35" s="87" t="str">
        <v/>
      </c>
    </row>
    <row r="36" spans="1:5" ht="42" x14ac:dyDescent="0.35">
      <c r="A36" s="91" t="s">
        <v>67</v>
      </c>
      <c r="B36" s="90" t="s">
        <v>68</v>
      </c>
      <c r="C36" s="89" t="str">
        <v>Comp</v>
      </c>
      <c r="D36" s="88" t="str">
        <v>Y</v>
      </c>
      <c r="E36" s="87" t="str">
        <v>N</v>
      </c>
    </row>
    <row r="37" spans="1:5" ht="28" x14ac:dyDescent="0.35">
      <c r="A37" s="91" t="s">
        <v>69</v>
      </c>
      <c r="B37" s="90" t="s">
        <v>70</v>
      </c>
      <c r="C37" s="89" t="str">
        <v>Comp</v>
      </c>
      <c r="D37" s="88" t="str">
        <v>Y</v>
      </c>
      <c r="E37" s="87" t="str">
        <v>Y</v>
      </c>
    </row>
    <row r="38" spans="1:5" ht="42" x14ac:dyDescent="0.35">
      <c r="A38" s="91" t="s">
        <v>71</v>
      </c>
      <c r="B38" s="90" t="s">
        <v>72</v>
      </c>
      <c r="C38" s="89" t="str">
        <v>Comp</v>
      </c>
      <c r="D38" s="88" t="str">
        <v>Y</v>
      </c>
      <c r="E38" s="87" t="str">
        <v>N</v>
      </c>
    </row>
    <row r="39" spans="1:5" ht="28" x14ac:dyDescent="0.35">
      <c r="A39" s="91" t="s">
        <v>73</v>
      </c>
      <c r="B39" s="90" t="s">
        <v>74</v>
      </c>
      <c r="C39" s="89" t="str">
        <v>Comp</v>
      </c>
      <c r="D39" s="88" t="str">
        <v>Y</v>
      </c>
      <c r="E39" s="87" t="str">
        <v>Y</v>
      </c>
    </row>
    <row r="40" spans="1:5" ht="42" x14ac:dyDescent="0.35">
      <c r="A40" s="86" t="s">
        <v>75</v>
      </c>
      <c r="B40" s="85" t="s">
        <v>76</v>
      </c>
      <c r="C40" s="84" t="str">
        <v>Min comp</v>
      </c>
      <c r="D40" s="83" t="str">
        <v>N</v>
      </c>
      <c r="E40" s="82" t="str">
        <v>N</v>
      </c>
    </row>
    <row r="41" spans="1:5" x14ac:dyDescent="0.35">
      <c r="A41" s="64" t="str" cm="1">
        <f t="array" aca="1" ref="A41" ca="1">SUBSTITUTE(SUBSTITUTE(_xlfn.LET(_xlpm.x,CELL("filename"),LEFT(_xlpm.x,FIND("]",_xlpm.x))),"[",""),"]","")</f>
        <v>https://sriintl-my.sharepoint.us/personal/catherine_hall_sri_com/Documents/2023 backup/WORK/PROJECTS/DaSy ECTA/A_Self-Assess_Merge (Kathy H)/SELF XLSX/DaLeadComp SA_Individual_v6.9b_SampleData.xlsx</v>
      </c>
    </row>
  </sheetData>
  <sheetProtection sheet="1" formatCells="0" formatColumns="0" formatRows="0"/>
  <conditionalFormatting sqref="A4:E40">
    <cfRule type="expression" dxfId="16" priority="1">
      <formula>$K$1="x"</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778EE-F91C-4507-A8DE-8AD896EACAC7}">
  <sheetPr>
    <tabColor rgb="FF9900CC"/>
  </sheetPr>
  <dimension ref="A1:AM40"/>
  <sheetViews>
    <sheetView topLeftCell="A3" zoomScale="55" zoomScaleNormal="55" workbookViewId="0">
      <selection activeCell="R23" sqref="R23"/>
    </sheetView>
  </sheetViews>
  <sheetFormatPr defaultRowHeight="14.5" x14ac:dyDescent="0.35"/>
  <cols>
    <col min="5" max="5" width="1.54296875" customWidth="1"/>
    <col min="10" max="10" width="1.54296875" customWidth="1"/>
    <col min="15" max="15" width="1.54296875" customWidth="1"/>
    <col min="20" max="20" width="1.54296875" customWidth="1"/>
    <col min="25" max="25" width="1.54296875" customWidth="1"/>
    <col min="30" max="30" width="1.54296875" customWidth="1"/>
    <col min="35" max="35" width="1.54296875" customWidth="1"/>
  </cols>
  <sheetData>
    <row r="1" spans="1:39" hidden="1" x14ac:dyDescent="0.35"/>
    <row r="2" spans="1:39" hidden="1" x14ac:dyDescent="0.35">
      <c r="AJ2" t="s">
        <v>185</v>
      </c>
    </row>
    <row r="3" spans="1:39" x14ac:dyDescent="0.35">
      <c r="A3" t="s">
        <v>154</v>
      </c>
      <c r="F3" t="s">
        <v>155</v>
      </c>
      <c r="K3" t="s">
        <v>156</v>
      </c>
      <c r="P3" t="s">
        <v>157</v>
      </c>
      <c r="U3" t="s">
        <v>158</v>
      </c>
      <c r="Z3" t="s">
        <v>159</v>
      </c>
      <c r="AE3" t="s">
        <v>160</v>
      </c>
      <c r="AJ3" t="s">
        <v>161</v>
      </c>
    </row>
    <row r="4" spans="1:39" x14ac:dyDescent="0.35">
      <c r="A4" s="303" t="s">
        <v>84</v>
      </c>
      <c r="B4" s="304" t="s">
        <v>85</v>
      </c>
      <c r="C4" s="304" t="s">
        <v>86</v>
      </c>
      <c r="D4" s="305" t="s">
        <v>95</v>
      </c>
      <c r="F4" s="303" t="s">
        <v>84</v>
      </c>
      <c r="G4" s="304" t="s">
        <v>85</v>
      </c>
      <c r="H4" s="304" t="s">
        <v>86</v>
      </c>
      <c r="I4" s="305" t="s">
        <v>95</v>
      </c>
      <c r="K4" s="303" t="s">
        <v>84</v>
      </c>
      <c r="L4" s="304" t="s">
        <v>85</v>
      </c>
      <c r="M4" s="304" t="s">
        <v>86</v>
      </c>
      <c r="N4" s="305" t="s">
        <v>95</v>
      </c>
      <c r="P4" s="303" t="s">
        <v>84</v>
      </c>
      <c r="Q4" s="304" t="s">
        <v>85</v>
      </c>
      <c r="R4" s="304" t="s">
        <v>86</v>
      </c>
      <c r="S4" s="305" t="s">
        <v>95</v>
      </c>
      <c r="U4" s="303" t="s">
        <v>84</v>
      </c>
      <c r="V4" s="304" t="s">
        <v>85</v>
      </c>
      <c r="W4" s="304" t="s">
        <v>86</v>
      </c>
      <c r="X4" s="305" t="s">
        <v>95</v>
      </c>
      <c r="Z4" s="303" t="s">
        <v>84</v>
      </c>
      <c r="AA4" s="304" t="s">
        <v>85</v>
      </c>
      <c r="AB4" s="304" t="s">
        <v>86</v>
      </c>
      <c r="AC4" s="305" t="s">
        <v>95</v>
      </c>
      <c r="AE4" s="303" t="s">
        <v>84</v>
      </c>
      <c r="AF4" s="304" t="s">
        <v>85</v>
      </c>
      <c r="AG4" s="304" t="s">
        <v>86</v>
      </c>
      <c r="AH4" s="305" t="s">
        <v>95</v>
      </c>
      <c r="AJ4" s="303" t="s">
        <v>84</v>
      </c>
      <c r="AK4" s="304" t="s">
        <v>85</v>
      </c>
      <c r="AL4" s="304" t="s">
        <v>86</v>
      </c>
      <c r="AM4" s="305" t="s">
        <v>95</v>
      </c>
    </row>
    <row r="5" spans="1:39" x14ac:dyDescent="0.35">
      <c r="A5" s="306" t="s">
        <v>87</v>
      </c>
      <c r="B5" s="307" t="s">
        <v>14</v>
      </c>
      <c r="C5" s="308" t="s">
        <v>186</v>
      </c>
      <c r="D5" s="309"/>
      <c r="F5" s="306" t="s">
        <v>87</v>
      </c>
      <c r="G5" s="307" t="s">
        <v>14</v>
      </c>
      <c r="H5" s="308" t="s">
        <v>186</v>
      </c>
      <c r="I5" s="309"/>
      <c r="K5" s="306" t="s">
        <v>87</v>
      </c>
      <c r="L5" s="307" t="s">
        <v>14</v>
      </c>
      <c r="M5" s="308" t="s">
        <v>186</v>
      </c>
      <c r="N5" s="309"/>
      <c r="P5" s="306" t="s">
        <v>87</v>
      </c>
      <c r="Q5" s="307" t="s">
        <v>14</v>
      </c>
      <c r="R5" s="308" t="s">
        <v>186</v>
      </c>
      <c r="S5" s="309"/>
      <c r="U5" s="306" t="s">
        <v>87</v>
      </c>
      <c r="V5" s="307" t="s">
        <v>14</v>
      </c>
      <c r="W5" s="308" t="s">
        <v>186</v>
      </c>
      <c r="X5" s="309"/>
      <c r="Z5" s="306" t="s">
        <v>87</v>
      </c>
      <c r="AA5" s="307" t="s">
        <v>14</v>
      </c>
      <c r="AB5" s="308" t="s">
        <v>186</v>
      </c>
      <c r="AC5" s="309"/>
      <c r="AE5" s="306" t="s">
        <v>87</v>
      </c>
      <c r="AF5" s="307" t="s">
        <v>14</v>
      </c>
      <c r="AG5" s="308" t="s">
        <v>186</v>
      </c>
      <c r="AH5" s="309"/>
      <c r="AJ5" s="306" t="s">
        <v>87</v>
      </c>
      <c r="AK5" s="307" t="s">
        <v>14</v>
      </c>
      <c r="AL5" s="308" t="s">
        <v>186</v>
      </c>
      <c r="AM5" s="309"/>
    </row>
    <row r="6" spans="1:39" x14ac:dyDescent="0.35">
      <c r="A6" s="306" t="s">
        <v>89</v>
      </c>
      <c r="B6" s="307" t="s">
        <v>14</v>
      </c>
      <c r="C6" s="310" t="s">
        <v>7</v>
      </c>
      <c r="D6" s="311"/>
      <c r="F6" s="306" t="s">
        <v>89</v>
      </c>
      <c r="G6" s="307" t="s">
        <v>14</v>
      </c>
      <c r="H6" s="310" t="s">
        <v>7</v>
      </c>
      <c r="I6" s="311"/>
      <c r="K6" s="306" t="s">
        <v>87</v>
      </c>
      <c r="L6" s="307" t="s">
        <v>14</v>
      </c>
      <c r="M6" s="310" t="s">
        <v>186</v>
      </c>
      <c r="N6" s="311"/>
      <c r="P6" s="306" t="s">
        <v>87</v>
      </c>
      <c r="Q6" s="307" t="s">
        <v>14</v>
      </c>
      <c r="R6" s="310" t="s">
        <v>186</v>
      </c>
      <c r="S6" s="311"/>
      <c r="U6" s="306" t="s">
        <v>87</v>
      </c>
      <c r="V6" s="307" t="s">
        <v>14</v>
      </c>
      <c r="W6" s="310" t="s">
        <v>186</v>
      </c>
      <c r="X6" s="311"/>
      <c r="Z6" s="306" t="s">
        <v>87</v>
      </c>
      <c r="AA6" s="307" t="s">
        <v>14</v>
      </c>
      <c r="AB6" s="310" t="s">
        <v>186</v>
      </c>
      <c r="AC6" s="311"/>
      <c r="AE6" s="306" t="s">
        <v>87</v>
      </c>
      <c r="AF6" s="307" t="s">
        <v>14</v>
      </c>
      <c r="AG6" s="310" t="s">
        <v>186</v>
      </c>
      <c r="AH6" s="311"/>
      <c r="AJ6" s="306" t="s">
        <v>87</v>
      </c>
      <c r="AK6" s="307" t="s">
        <v>14</v>
      </c>
      <c r="AL6" s="310" t="s">
        <v>186</v>
      </c>
      <c r="AM6" s="311"/>
    </row>
    <row r="7" spans="1:39" x14ac:dyDescent="0.35">
      <c r="A7" s="306" t="s">
        <v>187</v>
      </c>
      <c r="B7" s="307" t="s">
        <v>14</v>
      </c>
      <c r="C7" s="310" t="s">
        <v>7</v>
      </c>
      <c r="D7" s="311"/>
      <c r="F7" s="306" t="s">
        <v>88</v>
      </c>
      <c r="G7" s="307" t="s">
        <v>14</v>
      </c>
      <c r="H7" s="310" t="s">
        <v>7</v>
      </c>
      <c r="I7" s="311"/>
      <c r="K7" s="306" t="s">
        <v>88</v>
      </c>
      <c r="L7" s="307" t="s">
        <v>14</v>
      </c>
      <c r="M7" s="310" t="s">
        <v>14</v>
      </c>
      <c r="N7" s="311"/>
      <c r="P7" s="306" t="s">
        <v>88</v>
      </c>
      <c r="Q7" s="307" t="s">
        <v>14</v>
      </c>
      <c r="R7" s="310" t="s">
        <v>14</v>
      </c>
      <c r="S7" s="311"/>
      <c r="U7" s="306" t="s">
        <v>88</v>
      </c>
      <c r="V7" s="307" t="s">
        <v>14</v>
      </c>
      <c r="W7" s="310" t="s">
        <v>14</v>
      </c>
      <c r="X7" s="311"/>
      <c r="Z7" s="306" t="s">
        <v>88</v>
      </c>
      <c r="AA7" s="307" t="s">
        <v>14</v>
      </c>
      <c r="AB7" s="310" t="s">
        <v>7</v>
      </c>
      <c r="AC7" s="311"/>
      <c r="AE7" s="306" t="s">
        <v>87</v>
      </c>
      <c r="AF7" s="307" t="s">
        <v>14</v>
      </c>
      <c r="AG7" s="310" t="s">
        <v>186</v>
      </c>
      <c r="AH7" s="311"/>
      <c r="AJ7" s="306" t="s">
        <v>87</v>
      </c>
      <c r="AK7" s="307" t="s">
        <v>14</v>
      </c>
      <c r="AL7" s="310" t="s">
        <v>186</v>
      </c>
      <c r="AM7" s="311"/>
    </row>
    <row r="8" spans="1:39" x14ac:dyDescent="0.35">
      <c r="A8" s="306" t="s">
        <v>87</v>
      </c>
      <c r="B8" s="307" t="s">
        <v>7</v>
      </c>
      <c r="C8" s="310" t="s">
        <v>186</v>
      </c>
      <c r="D8" s="311"/>
      <c r="F8" s="306" t="s">
        <v>87</v>
      </c>
      <c r="G8" s="307" t="s">
        <v>7</v>
      </c>
      <c r="H8" s="310" t="s">
        <v>186</v>
      </c>
      <c r="I8" s="311"/>
      <c r="K8" s="306" t="s">
        <v>87</v>
      </c>
      <c r="L8" s="307" t="s">
        <v>7</v>
      </c>
      <c r="M8" s="310" t="s">
        <v>186</v>
      </c>
      <c r="N8" s="311"/>
      <c r="P8" s="306" t="s">
        <v>87</v>
      </c>
      <c r="Q8" s="307" t="s">
        <v>7</v>
      </c>
      <c r="R8" s="310" t="s">
        <v>186</v>
      </c>
      <c r="S8" s="311"/>
      <c r="U8" s="306" t="s">
        <v>87</v>
      </c>
      <c r="V8" s="307" t="s">
        <v>7</v>
      </c>
      <c r="W8" s="310" t="s">
        <v>186</v>
      </c>
      <c r="X8" s="311"/>
      <c r="Z8" s="306" t="s">
        <v>87</v>
      </c>
      <c r="AA8" s="307" t="s">
        <v>7</v>
      </c>
      <c r="AB8" s="310" t="s">
        <v>186</v>
      </c>
      <c r="AC8" s="311"/>
      <c r="AE8" s="306" t="s">
        <v>87</v>
      </c>
      <c r="AF8" s="307" t="s">
        <v>7</v>
      </c>
      <c r="AG8" s="310" t="s">
        <v>186</v>
      </c>
      <c r="AH8" s="311"/>
      <c r="AJ8" s="306" t="s">
        <v>87</v>
      </c>
      <c r="AK8" s="307" t="s">
        <v>7</v>
      </c>
      <c r="AL8" s="310" t="s">
        <v>186</v>
      </c>
      <c r="AM8" s="311"/>
    </row>
    <row r="9" spans="1:39" x14ac:dyDescent="0.35">
      <c r="A9" s="306" t="s">
        <v>89</v>
      </c>
      <c r="B9" s="307" t="s">
        <v>4</v>
      </c>
      <c r="C9" s="310" t="s">
        <v>14</v>
      </c>
      <c r="D9" s="311"/>
      <c r="F9" s="306" t="s">
        <v>187</v>
      </c>
      <c r="G9" s="307" t="s">
        <v>4</v>
      </c>
      <c r="H9" s="310" t="s">
        <v>7</v>
      </c>
      <c r="I9" s="311"/>
      <c r="K9" s="306" t="s">
        <v>89</v>
      </c>
      <c r="L9" s="307" t="s">
        <v>4</v>
      </c>
      <c r="M9" s="310" t="s">
        <v>7</v>
      </c>
      <c r="N9" s="311"/>
      <c r="P9" s="306" t="s">
        <v>89</v>
      </c>
      <c r="Q9" s="307" t="s">
        <v>4</v>
      </c>
      <c r="R9" s="310" t="s">
        <v>14</v>
      </c>
      <c r="S9" s="311"/>
      <c r="U9" s="306" t="s">
        <v>88</v>
      </c>
      <c r="V9" s="307" t="s">
        <v>4</v>
      </c>
      <c r="W9" s="310" t="s">
        <v>7</v>
      </c>
      <c r="X9" s="311"/>
      <c r="Z9" s="306" t="s">
        <v>88</v>
      </c>
      <c r="AA9" s="307" t="s">
        <v>4</v>
      </c>
      <c r="AB9" s="310" t="s">
        <v>7</v>
      </c>
      <c r="AC9" s="311"/>
      <c r="AE9" s="306" t="s">
        <v>87</v>
      </c>
      <c r="AF9" s="307" t="s">
        <v>4</v>
      </c>
      <c r="AG9" s="310" t="s">
        <v>186</v>
      </c>
      <c r="AH9" s="311"/>
      <c r="AJ9" s="306" t="s">
        <v>87</v>
      </c>
      <c r="AK9" s="307" t="s">
        <v>4</v>
      </c>
      <c r="AL9" s="310" t="s">
        <v>186</v>
      </c>
      <c r="AM9" s="311"/>
    </row>
    <row r="10" spans="1:39" x14ac:dyDescent="0.35">
      <c r="A10" s="306" t="s">
        <v>88</v>
      </c>
      <c r="B10" s="307" t="s">
        <v>14</v>
      </c>
      <c r="C10" s="310" t="s">
        <v>14</v>
      </c>
      <c r="D10" s="311"/>
      <c r="F10" s="306" t="s">
        <v>87</v>
      </c>
      <c r="G10" s="307" t="s">
        <v>14</v>
      </c>
      <c r="H10" s="310" t="s">
        <v>186</v>
      </c>
      <c r="I10" s="311"/>
      <c r="K10" s="306" t="s">
        <v>87</v>
      </c>
      <c r="L10" s="307" t="s">
        <v>14</v>
      </c>
      <c r="M10" s="310" t="s">
        <v>186</v>
      </c>
      <c r="N10" s="311"/>
      <c r="P10" s="306" t="s">
        <v>87</v>
      </c>
      <c r="Q10" s="307" t="s">
        <v>14</v>
      </c>
      <c r="R10" s="310" t="s">
        <v>186</v>
      </c>
      <c r="S10" s="311"/>
      <c r="U10" s="306" t="s">
        <v>87</v>
      </c>
      <c r="V10" s="307" t="s">
        <v>14</v>
      </c>
      <c r="W10" s="310" t="s">
        <v>186</v>
      </c>
      <c r="X10" s="311"/>
      <c r="Z10" s="306" t="s">
        <v>87</v>
      </c>
      <c r="AA10" s="307" t="s">
        <v>14</v>
      </c>
      <c r="AB10" s="310" t="s">
        <v>186</v>
      </c>
      <c r="AC10" s="311"/>
      <c r="AE10" s="306" t="s">
        <v>87</v>
      </c>
      <c r="AF10" s="307" t="s">
        <v>14</v>
      </c>
      <c r="AG10" s="310" t="s">
        <v>186</v>
      </c>
      <c r="AH10" s="311"/>
      <c r="AJ10" s="306" t="s">
        <v>87</v>
      </c>
      <c r="AK10" s="307" t="s">
        <v>14</v>
      </c>
      <c r="AL10" s="310" t="s">
        <v>186</v>
      </c>
      <c r="AM10" s="311"/>
    </row>
    <row r="11" spans="1:39" x14ac:dyDescent="0.35">
      <c r="A11" s="306" t="s">
        <v>187</v>
      </c>
      <c r="B11" s="307" t="s">
        <v>7</v>
      </c>
      <c r="C11" s="310" t="s">
        <v>7</v>
      </c>
      <c r="D11" s="311"/>
      <c r="F11" s="306" t="s">
        <v>88</v>
      </c>
      <c r="G11" s="307" t="s">
        <v>7</v>
      </c>
      <c r="H11" s="310" t="s">
        <v>14</v>
      </c>
      <c r="I11" s="311"/>
      <c r="K11" s="306" t="s">
        <v>88</v>
      </c>
      <c r="L11" s="307" t="s">
        <v>7</v>
      </c>
      <c r="M11" s="310" t="s">
        <v>7</v>
      </c>
      <c r="N11" s="311"/>
      <c r="P11" s="306" t="s">
        <v>88</v>
      </c>
      <c r="Q11" s="307" t="s">
        <v>7</v>
      </c>
      <c r="R11" s="310" t="s">
        <v>7</v>
      </c>
      <c r="S11" s="311"/>
      <c r="U11" s="306" t="s">
        <v>88</v>
      </c>
      <c r="V11" s="307" t="s">
        <v>7</v>
      </c>
      <c r="W11" s="310" t="s">
        <v>14</v>
      </c>
      <c r="X11" s="311"/>
      <c r="Z11" s="306" t="s">
        <v>87</v>
      </c>
      <c r="AA11" s="307" t="s">
        <v>7</v>
      </c>
      <c r="AB11" s="310" t="s">
        <v>186</v>
      </c>
      <c r="AC11" s="311"/>
      <c r="AE11" s="306" t="s">
        <v>87</v>
      </c>
      <c r="AF11" s="307" t="s">
        <v>7</v>
      </c>
      <c r="AG11" s="310" t="s">
        <v>186</v>
      </c>
      <c r="AH11" s="311"/>
      <c r="AJ11" s="306" t="s">
        <v>87</v>
      </c>
      <c r="AK11" s="307" t="s">
        <v>7</v>
      </c>
      <c r="AL11" s="310" t="s">
        <v>186</v>
      </c>
      <c r="AM11" s="311"/>
    </row>
    <row r="12" spans="1:39" x14ac:dyDescent="0.35">
      <c r="A12" s="306" t="s">
        <v>88</v>
      </c>
      <c r="B12" s="307" t="s">
        <v>14</v>
      </c>
      <c r="C12" s="310" t="s">
        <v>14</v>
      </c>
      <c r="D12" s="311"/>
      <c r="F12" s="306" t="s">
        <v>88</v>
      </c>
      <c r="G12" s="307" t="s">
        <v>14</v>
      </c>
      <c r="H12" s="310" t="s">
        <v>14</v>
      </c>
      <c r="I12" s="311"/>
      <c r="K12" s="306" t="s">
        <v>88</v>
      </c>
      <c r="L12" s="307" t="s">
        <v>14</v>
      </c>
      <c r="M12" s="310" t="s">
        <v>14</v>
      </c>
      <c r="N12" s="311"/>
      <c r="P12" s="306" t="s">
        <v>88</v>
      </c>
      <c r="Q12" s="307" t="s">
        <v>14</v>
      </c>
      <c r="R12" s="310" t="s">
        <v>7</v>
      </c>
      <c r="S12" s="311"/>
      <c r="U12" s="306" t="s">
        <v>88</v>
      </c>
      <c r="V12" s="307" t="s">
        <v>14</v>
      </c>
      <c r="W12" s="310" t="s">
        <v>14</v>
      </c>
      <c r="X12" s="311"/>
      <c r="Z12" s="306" t="s">
        <v>88</v>
      </c>
      <c r="AA12" s="307" t="s">
        <v>14</v>
      </c>
      <c r="AB12" s="310" t="s">
        <v>7</v>
      </c>
      <c r="AC12" s="311"/>
      <c r="AE12" s="306" t="s">
        <v>87</v>
      </c>
      <c r="AF12" s="307" t="s">
        <v>14</v>
      </c>
      <c r="AG12" s="310" t="s">
        <v>186</v>
      </c>
      <c r="AH12" s="311"/>
      <c r="AJ12" s="306" t="s">
        <v>87</v>
      </c>
      <c r="AK12" s="307" t="s">
        <v>14</v>
      </c>
      <c r="AL12" s="310" t="s">
        <v>186</v>
      </c>
      <c r="AM12" s="311"/>
    </row>
    <row r="13" spans="1:39" x14ac:dyDescent="0.35">
      <c r="A13" s="306" t="s">
        <v>89</v>
      </c>
      <c r="B13" s="307" t="s">
        <v>7</v>
      </c>
      <c r="C13" s="310" t="s">
        <v>14</v>
      </c>
      <c r="D13" s="311"/>
      <c r="F13" s="306" t="s">
        <v>89</v>
      </c>
      <c r="G13" s="307" t="s">
        <v>7</v>
      </c>
      <c r="H13" s="310" t="s">
        <v>7</v>
      </c>
      <c r="I13" s="311"/>
      <c r="K13" s="306" t="s">
        <v>88</v>
      </c>
      <c r="L13" s="307" t="s">
        <v>7</v>
      </c>
      <c r="M13" s="310" t="s">
        <v>14</v>
      </c>
      <c r="N13" s="311"/>
      <c r="P13" s="306" t="s">
        <v>88</v>
      </c>
      <c r="Q13" s="307" t="s">
        <v>7</v>
      </c>
      <c r="R13" s="310" t="s">
        <v>14</v>
      </c>
      <c r="S13" s="311"/>
      <c r="U13" s="306" t="s">
        <v>88</v>
      </c>
      <c r="V13" s="307" t="s">
        <v>7</v>
      </c>
      <c r="W13" s="310" t="s">
        <v>7</v>
      </c>
      <c r="X13" s="311"/>
      <c r="Z13" s="306" t="s">
        <v>87</v>
      </c>
      <c r="AA13" s="307" t="s">
        <v>7</v>
      </c>
      <c r="AB13" s="310" t="s">
        <v>186</v>
      </c>
      <c r="AC13" s="311"/>
      <c r="AE13" s="306" t="s">
        <v>87</v>
      </c>
      <c r="AF13" s="307" t="s">
        <v>7</v>
      </c>
      <c r="AG13" s="310" t="s">
        <v>186</v>
      </c>
      <c r="AH13" s="311"/>
      <c r="AJ13" s="306" t="s">
        <v>87</v>
      </c>
      <c r="AK13" s="307" t="s">
        <v>7</v>
      </c>
      <c r="AL13" s="310" t="s">
        <v>186</v>
      </c>
      <c r="AM13" s="311"/>
    </row>
    <row r="14" spans="1:39" x14ac:dyDescent="0.35">
      <c r="A14" s="306" t="s">
        <v>87</v>
      </c>
      <c r="B14" s="307" t="s">
        <v>7</v>
      </c>
      <c r="C14" s="310" t="s">
        <v>186</v>
      </c>
      <c r="D14" s="311"/>
      <c r="F14" s="306" t="s">
        <v>87</v>
      </c>
      <c r="G14" s="307" t="s">
        <v>7</v>
      </c>
      <c r="H14" s="310" t="s">
        <v>186</v>
      </c>
      <c r="I14" s="311"/>
      <c r="K14" s="306" t="s">
        <v>87</v>
      </c>
      <c r="L14" s="307" t="s">
        <v>7</v>
      </c>
      <c r="M14" s="310" t="s">
        <v>186</v>
      </c>
      <c r="N14" s="311"/>
      <c r="P14" s="306" t="s">
        <v>87</v>
      </c>
      <c r="Q14" s="307" t="s">
        <v>7</v>
      </c>
      <c r="R14" s="310" t="s">
        <v>186</v>
      </c>
      <c r="S14" s="311"/>
      <c r="U14" s="306" t="s">
        <v>87</v>
      </c>
      <c r="V14" s="307" t="s">
        <v>7</v>
      </c>
      <c r="W14" s="310" t="s">
        <v>186</v>
      </c>
      <c r="X14" s="311"/>
      <c r="Z14" s="306" t="s">
        <v>87</v>
      </c>
      <c r="AA14" s="307" t="s">
        <v>7</v>
      </c>
      <c r="AB14" s="310" t="s">
        <v>186</v>
      </c>
      <c r="AC14" s="311"/>
      <c r="AE14" s="306" t="s">
        <v>87</v>
      </c>
      <c r="AF14" s="307" t="s">
        <v>7</v>
      </c>
      <c r="AG14" s="310" t="s">
        <v>186</v>
      </c>
      <c r="AH14" s="311"/>
      <c r="AJ14" s="306" t="s">
        <v>87</v>
      </c>
      <c r="AK14" s="307" t="s">
        <v>7</v>
      </c>
      <c r="AL14" s="310" t="s">
        <v>186</v>
      </c>
      <c r="AM14" s="311"/>
    </row>
    <row r="15" spans="1:39" x14ac:dyDescent="0.35">
      <c r="A15" s="306" t="s">
        <v>187</v>
      </c>
      <c r="B15" s="307" t="s">
        <v>14</v>
      </c>
      <c r="C15" s="310" t="s">
        <v>14</v>
      </c>
      <c r="D15" s="311"/>
      <c r="F15" s="306" t="s">
        <v>89</v>
      </c>
      <c r="G15" s="307" t="s">
        <v>14</v>
      </c>
      <c r="H15" s="310" t="s">
        <v>7</v>
      </c>
      <c r="I15" s="311"/>
      <c r="K15" s="306" t="s">
        <v>89</v>
      </c>
      <c r="L15" s="307" t="s">
        <v>14</v>
      </c>
      <c r="M15" s="310" t="s">
        <v>7</v>
      </c>
      <c r="N15" s="311"/>
      <c r="P15" s="306" t="s">
        <v>187</v>
      </c>
      <c r="Q15" s="307" t="s">
        <v>14</v>
      </c>
      <c r="R15" s="310" t="s">
        <v>14</v>
      </c>
      <c r="S15" s="311"/>
      <c r="U15" s="306" t="s">
        <v>187</v>
      </c>
      <c r="V15" s="307" t="s">
        <v>14</v>
      </c>
      <c r="W15" s="310" t="s">
        <v>14</v>
      </c>
      <c r="X15" s="311"/>
      <c r="Z15" s="306" t="s">
        <v>187</v>
      </c>
      <c r="AA15" s="307" t="s">
        <v>14</v>
      </c>
      <c r="AB15" s="310" t="s">
        <v>7</v>
      </c>
      <c r="AC15" s="311"/>
      <c r="AE15" s="306" t="s">
        <v>89</v>
      </c>
      <c r="AF15" s="307" t="s">
        <v>14</v>
      </c>
      <c r="AG15" s="310" t="s">
        <v>7</v>
      </c>
      <c r="AH15" s="311"/>
      <c r="AJ15" s="306" t="s">
        <v>89</v>
      </c>
      <c r="AK15" s="307" t="s">
        <v>14</v>
      </c>
      <c r="AL15" s="310" t="s">
        <v>7</v>
      </c>
      <c r="AM15" s="311"/>
    </row>
    <row r="16" spans="1:39" x14ac:dyDescent="0.35">
      <c r="A16" s="306" t="s">
        <v>89</v>
      </c>
      <c r="B16" s="307" t="s">
        <v>7</v>
      </c>
      <c r="C16" s="310" t="s">
        <v>7</v>
      </c>
      <c r="D16" s="311"/>
      <c r="F16" s="306" t="s">
        <v>187</v>
      </c>
      <c r="G16" s="307" t="s">
        <v>7</v>
      </c>
      <c r="H16" s="310" t="s">
        <v>14</v>
      </c>
      <c r="I16" s="311"/>
      <c r="K16" s="306" t="s">
        <v>88</v>
      </c>
      <c r="L16" s="307" t="s">
        <v>7</v>
      </c>
      <c r="M16" s="310" t="s">
        <v>14</v>
      </c>
      <c r="N16" s="311"/>
      <c r="P16" s="306" t="s">
        <v>88</v>
      </c>
      <c r="Q16" s="307" t="s">
        <v>7</v>
      </c>
      <c r="R16" s="310" t="s">
        <v>7</v>
      </c>
      <c r="S16" s="311"/>
      <c r="U16" s="306" t="s">
        <v>88</v>
      </c>
      <c r="V16" s="307" t="s">
        <v>7</v>
      </c>
      <c r="W16" s="310" t="s">
        <v>14</v>
      </c>
      <c r="X16" s="311"/>
      <c r="Z16" s="306" t="s">
        <v>88</v>
      </c>
      <c r="AA16" s="307" t="s">
        <v>7</v>
      </c>
      <c r="AB16" s="310" t="s">
        <v>7</v>
      </c>
      <c r="AC16" s="311"/>
      <c r="AE16" s="306" t="s">
        <v>88</v>
      </c>
      <c r="AF16" s="307" t="s">
        <v>7</v>
      </c>
      <c r="AG16" s="310" t="s">
        <v>7</v>
      </c>
      <c r="AH16" s="311"/>
      <c r="AJ16" s="306" t="s">
        <v>88</v>
      </c>
      <c r="AK16" s="307" t="s">
        <v>7</v>
      </c>
      <c r="AL16" s="310" t="s">
        <v>14</v>
      </c>
      <c r="AM16" s="311"/>
    </row>
    <row r="17" spans="1:39" x14ac:dyDescent="0.35">
      <c r="A17" s="306" t="s">
        <v>187</v>
      </c>
      <c r="B17" s="307" t="s">
        <v>14</v>
      </c>
      <c r="C17" s="310" t="s">
        <v>7</v>
      </c>
      <c r="D17" s="311"/>
      <c r="F17" s="306" t="s">
        <v>89</v>
      </c>
      <c r="G17" s="307" t="s">
        <v>14</v>
      </c>
      <c r="H17" s="310" t="s">
        <v>7</v>
      </c>
      <c r="I17" s="311"/>
      <c r="K17" s="306" t="s">
        <v>88</v>
      </c>
      <c r="L17" s="307" t="s">
        <v>14</v>
      </c>
      <c r="M17" s="310" t="s">
        <v>14</v>
      </c>
      <c r="N17" s="311"/>
      <c r="P17" s="306" t="s">
        <v>88</v>
      </c>
      <c r="Q17" s="307" t="s">
        <v>14</v>
      </c>
      <c r="R17" s="310" t="s">
        <v>14</v>
      </c>
      <c r="S17" s="311"/>
      <c r="U17" s="306" t="s">
        <v>88</v>
      </c>
      <c r="V17" s="307" t="s">
        <v>14</v>
      </c>
      <c r="W17" s="310" t="s">
        <v>14</v>
      </c>
      <c r="X17" s="311"/>
      <c r="Z17" s="306" t="s">
        <v>88</v>
      </c>
      <c r="AA17" s="307" t="s">
        <v>14</v>
      </c>
      <c r="AB17" s="310" t="s">
        <v>7</v>
      </c>
      <c r="AC17" s="311"/>
      <c r="AE17" s="306" t="s">
        <v>88</v>
      </c>
      <c r="AF17" s="307" t="s">
        <v>14</v>
      </c>
      <c r="AG17" s="310" t="s">
        <v>7</v>
      </c>
      <c r="AH17" s="311"/>
      <c r="AJ17" s="306" t="s">
        <v>88</v>
      </c>
      <c r="AK17" s="307" t="s">
        <v>14</v>
      </c>
      <c r="AL17" s="310" t="s">
        <v>7</v>
      </c>
      <c r="AM17" s="311"/>
    </row>
    <row r="18" spans="1:39" x14ac:dyDescent="0.35">
      <c r="A18" s="306" t="s">
        <v>88</v>
      </c>
      <c r="B18" s="307" t="s">
        <v>7</v>
      </c>
      <c r="C18" s="310" t="s">
        <v>7</v>
      </c>
      <c r="D18" s="311"/>
      <c r="F18" s="306" t="s">
        <v>88</v>
      </c>
      <c r="G18" s="307" t="s">
        <v>7</v>
      </c>
      <c r="H18" s="310" t="s">
        <v>14</v>
      </c>
      <c r="I18" s="311"/>
      <c r="K18" s="306" t="s">
        <v>87</v>
      </c>
      <c r="L18" s="307" t="s">
        <v>7</v>
      </c>
      <c r="M18" s="310" t="s">
        <v>186</v>
      </c>
      <c r="N18" s="311"/>
      <c r="P18" s="306" t="s">
        <v>87</v>
      </c>
      <c r="Q18" s="307" t="s">
        <v>7</v>
      </c>
      <c r="R18" s="310" t="s">
        <v>186</v>
      </c>
      <c r="S18" s="311"/>
      <c r="U18" s="306" t="s">
        <v>87</v>
      </c>
      <c r="V18" s="307" t="s">
        <v>7</v>
      </c>
      <c r="W18" s="310" t="s">
        <v>186</v>
      </c>
      <c r="X18" s="311"/>
      <c r="Z18" s="306" t="s">
        <v>87</v>
      </c>
      <c r="AA18" s="307" t="s">
        <v>7</v>
      </c>
      <c r="AB18" s="310" t="s">
        <v>186</v>
      </c>
      <c r="AC18" s="311"/>
      <c r="AE18" s="306" t="s">
        <v>87</v>
      </c>
      <c r="AF18" s="307" t="s">
        <v>7</v>
      </c>
      <c r="AG18" s="310" t="s">
        <v>186</v>
      </c>
      <c r="AH18" s="311"/>
      <c r="AJ18" s="306" t="s">
        <v>87</v>
      </c>
      <c r="AK18" s="307" t="s">
        <v>7</v>
      </c>
      <c r="AL18" s="310" t="s">
        <v>186</v>
      </c>
      <c r="AM18" s="311"/>
    </row>
    <row r="19" spans="1:39" x14ac:dyDescent="0.35">
      <c r="A19" s="306" t="s">
        <v>89</v>
      </c>
      <c r="B19" s="307" t="s">
        <v>14</v>
      </c>
      <c r="C19" s="310" t="s">
        <v>7</v>
      </c>
      <c r="D19" s="311"/>
      <c r="F19" s="306" t="s">
        <v>88</v>
      </c>
      <c r="G19" s="307" t="s">
        <v>14</v>
      </c>
      <c r="H19" s="310" t="s">
        <v>7</v>
      </c>
      <c r="I19" s="311"/>
      <c r="K19" s="306" t="s">
        <v>88</v>
      </c>
      <c r="L19" s="307" t="s">
        <v>14</v>
      </c>
      <c r="M19" s="310" t="s">
        <v>7</v>
      </c>
      <c r="N19" s="311"/>
      <c r="P19" s="306" t="s">
        <v>88</v>
      </c>
      <c r="Q19" s="307" t="s">
        <v>14</v>
      </c>
      <c r="R19" s="310" t="s">
        <v>7</v>
      </c>
      <c r="S19" s="311"/>
      <c r="U19" s="306" t="s">
        <v>88</v>
      </c>
      <c r="V19" s="307" t="s">
        <v>14</v>
      </c>
      <c r="W19" s="310" t="s">
        <v>14</v>
      </c>
      <c r="X19" s="311"/>
      <c r="Z19" s="306" t="s">
        <v>88</v>
      </c>
      <c r="AA19" s="307" t="s">
        <v>14</v>
      </c>
      <c r="AB19" s="310" t="s">
        <v>14</v>
      </c>
      <c r="AC19" s="311"/>
      <c r="AE19" s="306" t="s">
        <v>88</v>
      </c>
      <c r="AF19" s="307" t="s">
        <v>14</v>
      </c>
      <c r="AG19" s="310" t="s">
        <v>14</v>
      </c>
      <c r="AH19" s="311"/>
      <c r="AJ19" s="306" t="s">
        <v>88</v>
      </c>
      <c r="AK19" s="307" t="s">
        <v>14</v>
      </c>
      <c r="AL19" s="310" t="s">
        <v>14</v>
      </c>
      <c r="AM19" s="311"/>
    </row>
    <row r="20" spans="1:39" x14ac:dyDescent="0.35">
      <c r="A20" s="306" t="s">
        <v>89</v>
      </c>
      <c r="B20" s="307" t="s">
        <v>14</v>
      </c>
      <c r="C20" s="310" t="s">
        <v>14</v>
      </c>
      <c r="D20" s="311"/>
      <c r="F20" s="306" t="s">
        <v>187</v>
      </c>
      <c r="G20" s="307" t="s">
        <v>14</v>
      </c>
      <c r="H20" s="310" t="s">
        <v>14</v>
      </c>
      <c r="I20" s="311"/>
      <c r="K20" s="306" t="s">
        <v>88</v>
      </c>
      <c r="L20" s="307" t="s">
        <v>14</v>
      </c>
      <c r="M20" s="310" t="s">
        <v>14</v>
      </c>
      <c r="N20" s="311"/>
      <c r="P20" s="306" t="s">
        <v>88</v>
      </c>
      <c r="Q20" s="307" t="s">
        <v>14</v>
      </c>
      <c r="R20" s="310" t="s">
        <v>14</v>
      </c>
      <c r="S20" s="311"/>
      <c r="U20" s="306" t="s">
        <v>88</v>
      </c>
      <c r="V20" s="307" t="s">
        <v>14</v>
      </c>
      <c r="W20" s="310" t="s">
        <v>14</v>
      </c>
      <c r="X20" s="311"/>
      <c r="Z20" s="306" t="s">
        <v>88</v>
      </c>
      <c r="AA20" s="307" t="s">
        <v>14</v>
      </c>
      <c r="AB20" s="310" t="s">
        <v>7</v>
      </c>
      <c r="AC20" s="311"/>
      <c r="AE20" s="306" t="s">
        <v>88</v>
      </c>
      <c r="AF20" s="307" t="s">
        <v>14</v>
      </c>
      <c r="AG20" s="310" t="s">
        <v>7</v>
      </c>
      <c r="AH20" s="311"/>
      <c r="AJ20" s="306" t="s">
        <v>88</v>
      </c>
      <c r="AK20" s="307" t="s">
        <v>14</v>
      </c>
      <c r="AL20" s="310" t="s">
        <v>7</v>
      </c>
      <c r="AM20" s="311"/>
    </row>
    <row r="21" spans="1:39" x14ac:dyDescent="0.35">
      <c r="A21" s="306" t="s">
        <v>89</v>
      </c>
      <c r="B21" s="307" t="s">
        <v>7</v>
      </c>
      <c r="C21" s="310" t="s">
        <v>7</v>
      </c>
      <c r="D21" s="311"/>
      <c r="F21" s="306" t="s">
        <v>87</v>
      </c>
      <c r="G21" s="307" t="s">
        <v>7</v>
      </c>
      <c r="H21" s="310" t="s">
        <v>186</v>
      </c>
      <c r="I21" s="311"/>
      <c r="K21" s="306" t="s">
        <v>87</v>
      </c>
      <c r="L21" s="307" t="s">
        <v>7</v>
      </c>
      <c r="M21" s="310" t="s">
        <v>186</v>
      </c>
      <c r="N21" s="311"/>
      <c r="P21" s="306" t="s">
        <v>87</v>
      </c>
      <c r="Q21" s="307" t="s">
        <v>7</v>
      </c>
      <c r="R21" s="310" t="s">
        <v>186</v>
      </c>
      <c r="S21" s="311"/>
      <c r="U21" s="306" t="s">
        <v>87</v>
      </c>
      <c r="V21" s="307" t="s">
        <v>7</v>
      </c>
      <c r="W21" s="310" t="s">
        <v>186</v>
      </c>
      <c r="X21" s="311"/>
      <c r="Z21" s="306" t="s">
        <v>87</v>
      </c>
      <c r="AA21" s="307" t="s">
        <v>7</v>
      </c>
      <c r="AB21" s="310" t="s">
        <v>186</v>
      </c>
      <c r="AC21" s="311"/>
      <c r="AE21" s="306" t="s">
        <v>87</v>
      </c>
      <c r="AF21" s="307" t="s">
        <v>7</v>
      </c>
      <c r="AG21" s="310" t="s">
        <v>186</v>
      </c>
      <c r="AH21" s="311"/>
      <c r="AJ21" s="306" t="s">
        <v>87</v>
      </c>
      <c r="AK21" s="307" t="s">
        <v>7</v>
      </c>
      <c r="AL21" s="310" t="s">
        <v>186</v>
      </c>
      <c r="AM21" s="311"/>
    </row>
    <row r="22" spans="1:39" x14ac:dyDescent="0.35">
      <c r="A22" s="306" t="s">
        <v>88</v>
      </c>
      <c r="B22" s="307" t="s">
        <v>14</v>
      </c>
      <c r="C22" s="310" t="s">
        <v>7</v>
      </c>
      <c r="D22" s="311"/>
      <c r="F22" s="306" t="s">
        <v>88</v>
      </c>
      <c r="G22" s="307" t="s">
        <v>14</v>
      </c>
      <c r="H22" s="310" t="s">
        <v>14</v>
      </c>
      <c r="I22" s="311"/>
      <c r="K22" s="306" t="s">
        <v>88</v>
      </c>
      <c r="L22" s="307" t="s">
        <v>14</v>
      </c>
      <c r="M22" s="310" t="s">
        <v>7</v>
      </c>
      <c r="N22" s="311"/>
      <c r="P22" s="306" t="s">
        <v>88</v>
      </c>
      <c r="Q22" s="307" t="s">
        <v>14</v>
      </c>
      <c r="R22" s="310" t="s">
        <v>7</v>
      </c>
      <c r="S22" s="311"/>
      <c r="U22" s="306" t="s">
        <v>88</v>
      </c>
      <c r="V22" s="307" t="s">
        <v>14</v>
      </c>
      <c r="W22" s="310" t="s">
        <v>14</v>
      </c>
      <c r="X22" s="311"/>
      <c r="Z22" s="306" t="s">
        <v>88</v>
      </c>
      <c r="AA22" s="307" t="s">
        <v>14</v>
      </c>
      <c r="AB22" s="310" t="s">
        <v>14</v>
      </c>
      <c r="AC22" s="311"/>
      <c r="AE22" s="306" t="s">
        <v>87</v>
      </c>
      <c r="AF22" s="307" t="s">
        <v>14</v>
      </c>
      <c r="AG22" s="310" t="s">
        <v>186</v>
      </c>
      <c r="AH22" s="311"/>
      <c r="AJ22" s="306" t="s">
        <v>87</v>
      </c>
      <c r="AK22" s="307" t="s">
        <v>14</v>
      </c>
      <c r="AL22" s="310" t="s">
        <v>186</v>
      </c>
      <c r="AM22" s="311"/>
    </row>
    <row r="23" spans="1:39" x14ac:dyDescent="0.35">
      <c r="A23" s="306" t="s">
        <v>187</v>
      </c>
      <c r="B23" s="307" t="s">
        <v>7</v>
      </c>
      <c r="C23" s="310" t="s">
        <v>7</v>
      </c>
      <c r="D23" s="311"/>
      <c r="F23" s="306" t="s">
        <v>187</v>
      </c>
      <c r="G23" s="307" t="s">
        <v>7</v>
      </c>
      <c r="H23" s="310" t="s">
        <v>7</v>
      </c>
      <c r="I23" s="311"/>
      <c r="K23" s="306" t="s">
        <v>89</v>
      </c>
      <c r="L23" s="307" t="s">
        <v>7</v>
      </c>
      <c r="M23" s="310" t="s">
        <v>7</v>
      </c>
      <c r="N23" s="311"/>
      <c r="P23" s="306" t="s">
        <v>88</v>
      </c>
      <c r="Q23" s="307" t="s">
        <v>7</v>
      </c>
      <c r="R23" s="310" t="s">
        <v>7</v>
      </c>
      <c r="S23" s="311"/>
      <c r="U23" s="306" t="s">
        <v>88</v>
      </c>
      <c r="V23" s="307" t="s">
        <v>7</v>
      </c>
      <c r="W23" s="310" t="s">
        <v>7</v>
      </c>
      <c r="X23" s="311"/>
      <c r="Z23" s="306" t="s">
        <v>88</v>
      </c>
      <c r="AA23" s="307" t="s">
        <v>7</v>
      </c>
      <c r="AB23" s="310" t="s">
        <v>7</v>
      </c>
      <c r="AC23" s="311"/>
      <c r="AE23" s="306" t="s">
        <v>88</v>
      </c>
      <c r="AF23" s="307" t="s">
        <v>7</v>
      </c>
      <c r="AG23" s="310" t="s">
        <v>14</v>
      </c>
      <c r="AH23" s="311"/>
      <c r="AJ23" s="306" t="s">
        <v>88</v>
      </c>
      <c r="AK23" s="307" t="s">
        <v>7</v>
      </c>
      <c r="AL23" s="310" t="s">
        <v>14</v>
      </c>
      <c r="AM23" s="311"/>
    </row>
    <row r="24" spans="1:39" x14ac:dyDescent="0.35">
      <c r="A24" s="306" t="s">
        <v>88</v>
      </c>
      <c r="B24" s="307" t="s">
        <v>4</v>
      </c>
      <c r="C24" s="310" t="s">
        <v>14</v>
      </c>
      <c r="D24" s="311"/>
      <c r="F24" s="306" t="s">
        <v>88</v>
      </c>
      <c r="G24" s="307" t="s">
        <v>4</v>
      </c>
      <c r="H24" s="310" t="s">
        <v>7</v>
      </c>
      <c r="I24" s="311"/>
      <c r="K24" s="306" t="s">
        <v>87</v>
      </c>
      <c r="L24" s="307" t="s">
        <v>4</v>
      </c>
      <c r="M24" s="310" t="s">
        <v>186</v>
      </c>
      <c r="N24" s="311"/>
      <c r="P24" s="306" t="s">
        <v>87</v>
      </c>
      <c r="Q24" s="307" t="s">
        <v>4</v>
      </c>
      <c r="R24" s="310" t="s">
        <v>186</v>
      </c>
      <c r="S24" s="311"/>
      <c r="U24" s="306" t="s">
        <v>87</v>
      </c>
      <c r="V24" s="307" t="s">
        <v>4</v>
      </c>
      <c r="W24" s="310" t="s">
        <v>186</v>
      </c>
      <c r="X24" s="311"/>
      <c r="Z24" s="306" t="s">
        <v>87</v>
      </c>
      <c r="AA24" s="307" t="s">
        <v>4</v>
      </c>
      <c r="AB24" s="310" t="s">
        <v>186</v>
      </c>
      <c r="AC24" s="311"/>
      <c r="AE24" s="306" t="s">
        <v>87</v>
      </c>
      <c r="AF24" s="307" t="s">
        <v>4</v>
      </c>
      <c r="AG24" s="310" t="s">
        <v>186</v>
      </c>
      <c r="AH24" s="311"/>
      <c r="AJ24" s="306" t="s">
        <v>87</v>
      </c>
      <c r="AK24" s="307" t="s">
        <v>4</v>
      </c>
      <c r="AL24" s="310" t="s">
        <v>186</v>
      </c>
      <c r="AM24" s="311"/>
    </row>
    <row r="25" spans="1:39" x14ac:dyDescent="0.35">
      <c r="A25" s="306" t="s">
        <v>87</v>
      </c>
      <c r="B25" s="307" t="s">
        <v>4</v>
      </c>
      <c r="C25" s="310" t="s">
        <v>186</v>
      </c>
      <c r="D25" s="311"/>
      <c r="F25" s="306" t="s">
        <v>87</v>
      </c>
      <c r="G25" s="307" t="s">
        <v>4</v>
      </c>
      <c r="H25" s="310" t="s">
        <v>186</v>
      </c>
      <c r="I25" s="311"/>
      <c r="K25" s="306" t="s">
        <v>87</v>
      </c>
      <c r="L25" s="307" t="s">
        <v>4</v>
      </c>
      <c r="M25" s="310" t="s">
        <v>186</v>
      </c>
      <c r="N25" s="311"/>
      <c r="P25" s="306" t="s">
        <v>87</v>
      </c>
      <c r="Q25" s="307" t="s">
        <v>4</v>
      </c>
      <c r="R25" s="310" t="s">
        <v>186</v>
      </c>
      <c r="S25" s="311"/>
      <c r="U25" s="306" t="s">
        <v>87</v>
      </c>
      <c r="V25" s="307" t="s">
        <v>4</v>
      </c>
      <c r="W25" s="310" t="s">
        <v>186</v>
      </c>
      <c r="X25" s="311"/>
      <c r="Z25" s="306" t="s">
        <v>87</v>
      </c>
      <c r="AA25" s="307" t="s">
        <v>4</v>
      </c>
      <c r="AB25" s="310" t="s">
        <v>186</v>
      </c>
      <c r="AC25" s="311"/>
      <c r="AE25" s="306" t="s">
        <v>87</v>
      </c>
      <c r="AF25" s="307" t="s">
        <v>4</v>
      </c>
      <c r="AG25" s="310" t="s">
        <v>186</v>
      </c>
      <c r="AH25" s="311"/>
      <c r="AJ25" s="306" t="s">
        <v>87</v>
      </c>
      <c r="AK25" s="307" t="s">
        <v>4</v>
      </c>
      <c r="AL25" s="310" t="s">
        <v>186</v>
      </c>
      <c r="AM25" s="311"/>
    </row>
    <row r="26" spans="1:39" x14ac:dyDescent="0.35">
      <c r="A26" s="306" t="s">
        <v>187</v>
      </c>
      <c r="B26" s="307" t="s">
        <v>14</v>
      </c>
      <c r="C26" s="310" t="s">
        <v>7</v>
      </c>
      <c r="D26" s="311"/>
      <c r="F26" s="306" t="s">
        <v>89</v>
      </c>
      <c r="G26" s="307" t="s">
        <v>14</v>
      </c>
      <c r="H26" s="310" t="s">
        <v>14</v>
      </c>
      <c r="I26" s="311"/>
      <c r="K26" s="306" t="s">
        <v>88</v>
      </c>
      <c r="L26" s="307" t="s">
        <v>14</v>
      </c>
      <c r="M26" s="310" t="s">
        <v>7</v>
      </c>
      <c r="N26" s="311"/>
      <c r="P26" s="306" t="s">
        <v>88</v>
      </c>
      <c r="Q26" s="307" t="s">
        <v>14</v>
      </c>
      <c r="R26" s="310" t="s">
        <v>14</v>
      </c>
      <c r="S26" s="311"/>
      <c r="U26" s="306" t="s">
        <v>88</v>
      </c>
      <c r="V26" s="307" t="s">
        <v>14</v>
      </c>
      <c r="W26" s="310" t="s">
        <v>7</v>
      </c>
      <c r="X26" s="311"/>
      <c r="Z26" s="306" t="s">
        <v>87</v>
      </c>
      <c r="AA26" s="307" t="s">
        <v>14</v>
      </c>
      <c r="AB26" s="310" t="s">
        <v>186</v>
      </c>
      <c r="AC26" s="311"/>
      <c r="AE26" s="306" t="s">
        <v>87</v>
      </c>
      <c r="AF26" s="307" t="s">
        <v>14</v>
      </c>
      <c r="AG26" s="310" t="s">
        <v>186</v>
      </c>
      <c r="AH26" s="311"/>
      <c r="AJ26" s="306" t="s">
        <v>87</v>
      </c>
      <c r="AK26" s="307" t="s">
        <v>14</v>
      </c>
      <c r="AL26" s="310" t="s">
        <v>186</v>
      </c>
      <c r="AM26" s="311"/>
    </row>
    <row r="27" spans="1:39" x14ac:dyDescent="0.35">
      <c r="A27" s="306" t="s">
        <v>89</v>
      </c>
      <c r="B27" s="307" t="s">
        <v>14</v>
      </c>
      <c r="C27" s="310" t="s">
        <v>14</v>
      </c>
      <c r="D27" s="311"/>
      <c r="F27" s="306" t="s">
        <v>88</v>
      </c>
      <c r="G27" s="307" t="s">
        <v>14</v>
      </c>
      <c r="H27" s="310" t="s">
        <v>14</v>
      </c>
      <c r="I27" s="311"/>
      <c r="K27" s="306" t="s">
        <v>88</v>
      </c>
      <c r="L27" s="307" t="s">
        <v>14</v>
      </c>
      <c r="M27" s="310" t="s">
        <v>7</v>
      </c>
      <c r="N27" s="311"/>
      <c r="P27" s="306" t="s">
        <v>88</v>
      </c>
      <c r="Q27" s="307" t="s">
        <v>14</v>
      </c>
      <c r="R27" s="310" t="s">
        <v>7</v>
      </c>
      <c r="S27" s="311"/>
      <c r="U27" s="306" t="s">
        <v>88</v>
      </c>
      <c r="V27" s="307" t="s">
        <v>14</v>
      </c>
      <c r="W27" s="310" t="s">
        <v>14</v>
      </c>
      <c r="X27" s="311"/>
      <c r="Z27" s="306" t="s">
        <v>88</v>
      </c>
      <c r="AA27" s="307" t="s">
        <v>14</v>
      </c>
      <c r="AB27" s="310" t="s">
        <v>7</v>
      </c>
      <c r="AC27" s="311"/>
      <c r="AE27" s="306" t="s">
        <v>88</v>
      </c>
      <c r="AF27" s="307" t="s">
        <v>14</v>
      </c>
      <c r="AG27" s="310" t="s">
        <v>7</v>
      </c>
      <c r="AH27" s="311"/>
      <c r="AJ27" s="306" t="s">
        <v>88</v>
      </c>
      <c r="AK27" s="307" t="s">
        <v>14</v>
      </c>
      <c r="AL27" s="310" t="s">
        <v>14</v>
      </c>
      <c r="AM27" s="311"/>
    </row>
    <row r="28" spans="1:39" x14ac:dyDescent="0.35">
      <c r="A28" s="306" t="s">
        <v>88</v>
      </c>
      <c r="B28" s="307" t="s">
        <v>4</v>
      </c>
      <c r="C28" s="310" t="s">
        <v>7</v>
      </c>
      <c r="D28" s="311"/>
      <c r="F28" s="306" t="s">
        <v>88</v>
      </c>
      <c r="G28" s="307" t="s">
        <v>4</v>
      </c>
      <c r="H28" s="310" t="s">
        <v>14</v>
      </c>
      <c r="I28" s="311"/>
      <c r="K28" s="306" t="s">
        <v>88</v>
      </c>
      <c r="L28" s="307" t="s">
        <v>4</v>
      </c>
      <c r="M28" s="310" t="s">
        <v>7</v>
      </c>
      <c r="N28" s="311"/>
      <c r="P28" s="306" t="s">
        <v>88</v>
      </c>
      <c r="Q28" s="307" t="s">
        <v>4</v>
      </c>
      <c r="R28" s="310" t="s">
        <v>14</v>
      </c>
      <c r="S28" s="311"/>
      <c r="U28" s="306" t="s">
        <v>87</v>
      </c>
      <c r="V28" s="307" t="s">
        <v>4</v>
      </c>
      <c r="W28" s="310" t="s">
        <v>186</v>
      </c>
      <c r="X28" s="311"/>
      <c r="Z28" s="306" t="s">
        <v>87</v>
      </c>
      <c r="AA28" s="307" t="s">
        <v>4</v>
      </c>
      <c r="AB28" s="310" t="s">
        <v>186</v>
      </c>
      <c r="AC28" s="311"/>
      <c r="AE28" s="306" t="s">
        <v>87</v>
      </c>
      <c r="AF28" s="307" t="s">
        <v>4</v>
      </c>
      <c r="AG28" s="310" t="s">
        <v>186</v>
      </c>
      <c r="AH28" s="311"/>
      <c r="AJ28" s="306" t="s">
        <v>87</v>
      </c>
      <c r="AK28" s="307" t="s">
        <v>4</v>
      </c>
      <c r="AL28" s="310" t="s">
        <v>186</v>
      </c>
      <c r="AM28" s="311"/>
    </row>
    <row r="29" spans="1:39" x14ac:dyDescent="0.35">
      <c r="A29" s="306" t="s">
        <v>87</v>
      </c>
      <c r="B29" s="307" t="s">
        <v>14</v>
      </c>
      <c r="C29" s="310" t="s">
        <v>186</v>
      </c>
      <c r="D29" s="311"/>
      <c r="F29" s="306" t="s">
        <v>87</v>
      </c>
      <c r="G29" s="307" t="s">
        <v>14</v>
      </c>
      <c r="H29" s="310" t="s">
        <v>186</v>
      </c>
      <c r="I29" s="311"/>
      <c r="K29" s="306" t="s">
        <v>87</v>
      </c>
      <c r="L29" s="307" t="s">
        <v>14</v>
      </c>
      <c r="M29" s="310" t="s">
        <v>186</v>
      </c>
      <c r="N29" s="311"/>
      <c r="P29" s="306" t="s">
        <v>87</v>
      </c>
      <c r="Q29" s="307" t="s">
        <v>14</v>
      </c>
      <c r="R29" s="310" t="s">
        <v>186</v>
      </c>
      <c r="S29" s="311"/>
      <c r="U29" s="306" t="s">
        <v>87</v>
      </c>
      <c r="V29" s="307" t="s">
        <v>14</v>
      </c>
      <c r="W29" s="310" t="s">
        <v>186</v>
      </c>
      <c r="X29" s="311"/>
      <c r="Z29" s="306" t="s">
        <v>87</v>
      </c>
      <c r="AA29" s="307" t="s">
        <v>14</v>
      </c>
      <c r="AB29" s="310" t="s">
        <v>186</v>
      </c>
      <c r="AC29" s="311"/>
      <c r="AE29" s="306" t="s">
        <v>87</v>
      </c>
      <c r="AF29" s="307" t="s">
        <v>14</v>
      </c>
      <c r="AG29" s="310" t="s">
        <v>186</v>
      </c>
      <c r="AH29" s="311"/>
      <c r="AJ29" s="306" t="s">
        <v>87</v>
      </c>
      <c r="AK29" s="307" t="s">
        <v>14</v>
      </c>
      <c r="AL29" s="310" t="s">
        <v>186</v>
      </c>
      <c r="AM29" s="311"/>
    </row>
    <row r="30" spans="1:39" x14ac:dyDescent="0.35">
      <c r="A30" s="306" t="s">
        <v>88</v>
      </c>
      <c r="B30" s="307" t="s">
        <v>7</v>
      </c>
      <c r="C30" s="310" t="s">
        <v>14</v>
      </c>
      <c r="D30" s="311"/>
      <c r="F30" s="306" t="s">
        <v>88</v>
      </c>
      <c r="G30" s="307" t="s">
        <v>7</v>
      </c>
      <c r="H30" s="310" t="s">
        <v>14</v>
      </c>
      <c r="I30" s="311"/>
      <c r="K30" s="306" t="s">
        <v>88</v>
      </c>
      <c r="L30" s="307" t="s">
        <v>7</v>
      </c>
      <c r="M30" s="310" t="s">
        <v>14</v>
      </c>
      <c r="N30" s="311"/>
      <c r="P30" s="306" t="s">
        <v>88</v>
      </c>
      <c r="Q30" s="307" t="s">
        <v>7</v>
      </c>
      <c r="R30" s="310" t="s">
        <v>14</v>
      </c>
      <c r="S30" s="311"/>
      <c r="U30" s="306" t="s">
        <v>88</v>
      </c>
      <c r="V30" s="307" t="s">
        <v>7</v>
      </c>
      <c r="W30" s="310" t="s">
        <v>14</v>
      </c>
      <c r="X30" s="311"/>
      <c r="Z30" s="306" t="s">
        <v>88</v>
      </c>
      <c r="AA30" s="307" t="s">
        <v>7</v>
      </c>
      <c r="AB30" s="310" t="s">
        <v>14</v>
      </c>
      <c r="AC30" s="311"/>
      <c r="AE30" s="306" t="s">
        <v>88</v>
      </c>
      <c r="AF30" s="307" t="s">
        <v>7</v>
      </c>
      <c r="AG30" s="310" t="s">
        <v>14</v>
      </c>
      <c r="AH30" s="311"/>
      <c r="AJ30" s="306" t="s">
        <v>88</v>
      </c>
      <c r="AK30" s="307" t="s">
        <v>7</v>
      </c>
      <c r="AL30" s="310" t="s">
        <v>14</v>
      </c>
      <c r="AM30" s="311"/>
    </row>
    <row r="31" spans="1:39" x14ac:dyDescent="0.35">
      <c r="A31" s="306" t="s">
        <v>187</v>
      </c>
      <c r="B31" s="307" t="s">
        <v>7</v>
      </c>
      <c r="C31" s="310" t="s">
        <v>7</v>
      </c>
      <c r="D31" s="311"/>
      <c r="F31" s="306" t="s">
        <v>88</v>
      </c>
      <c r="G31" s="307" t="s">
        <v>7</v>
      </c>
      <c r="H31" s="310" t="s">
        <v>14</v>
      </c>
      <c r="I31" s="311"/>
      <c r="K31" s="306" t="s">
        <v>88</v>
      </c>
      <c r="L31" s="307" t="s">
        <v>7</v>
      </c>
      <c r="M31" s="310" t="s">
        <v>7</v>
      </c>
      <c r="N31" s="311"/>
      <c r="P31" s="306" t="s">
        <v>88</v>
      </c>
      <c r="Q31" s="307" t="s">
        <v>7</v>
      </c>
      <c r="R31" s="310" t="s">
        <v>7</v>
      </c>
      <c r="S31" s="311"/>
      <c r="U31" s="306" t="s">
        <v>87</v>
      </c>
      <c r="V31" s="307" t="s">
        <v>7</v>
      </c>
      <c r="W31" s="310" t="s">
        <v>186</v>
      </c>
      <c r="X31" s="311"/>
      <c r="Z31" s="306" t="s">
        <v>87</v>
      </c>
      <c r="AA31" s="307" t="s">
        <v>7</v>
      </c>
      <c r="AB31" s="310" t="s">
        <v>186</v>
      </c>
      <c r="AC31" s="311"/>
      <c r="AE31" s="306" t="s">
        <v>87</v>
      </c>
      <c r="AF31" s="307" t="s">
        <v>7</v>
      </c>
      <c r="AG31" s="310" t="s">
        <v>186</v>
      </c>
      <c r="AH31" s="311"/>
      <c r="AJ31" s="306" t="s">
        <v>87</v>
      </c>
      <c r="AK31" s="307" t="s">
        <v>7</v>
      </c>
      <c r="AL31" s="310" t="s">
        <v>186</v>
      </c>
      <c r="AM31" s="311"/>
    </row>
    <row r="32" spans="1:39" x14ac:dyDescent="0.35">
      <c r="A32" s="306" t="s">
        <v>89</v>
      </c>
      <c r="B32" s="307" t="s">
        <v>4</v>
      </c>
      <c r="C32" s="310" t="s">
        <v>7</v>
      </c>
      <c r="D32" s="311"/>
      <c r="F32" s="306" t="s">
        <v>187</v>
      </c>
      <c r="G32" s="307" t="s">
        <v>4</v>
      </c>
      <c r="H32" s="310" t="s">
        <v>14</v>
      </c>
      <c r="I32" s="311"/>
      <c r="K32" s="306" t="s">
        <v>89</v>
      </c>
      <c r="L32" s="307" t="s">
        <v>4</v>
      </c>
      <c r="M32" s="310" t="s">
        <v>7</v>
      </c>
      <c r="N32" s="311"/>
      <c r="P32" s="306" t="s">
        <v>87</v>
      </c>
      <c r="Q32" s="307" t="s">
        <v>4</v>
      </c>
      <c r="R32" s="310" t="s">
        <v>186</v>
      </c>
      <c r="S32" s="311"/>
      <c r="U32" s="306" t="s">
        <v>87</v>
      </c>
      <c r="V32" s="307" t="s">
        <v>4</v>
      </c>
      <c r="W32" s="310" t="s">
        <v>186</v>
      </c>
      <c r="X32" s="311"/>
      <c r="Z32" s="306" t="s">
        <v>87</v>
      </c>
      <c r="AA32" s="307" t="s">
        <v>4</v>
      </c>
      <c r="AB32" s="310" t="s">
        <v>186</v>
      </c>
      <c r="AC32" s="311"/>
      <c r="AE32" s="306" t="s">
        <v>87</v>
      </c>
      <c r="AF32" s="307" t="s">
        <v>4</v>
      </c>
      <c r="AG32" s="310" t="s">
        <v>186</v>
      </c>
      <c r="AH32" s="311"/>
      <c r="AJ32" s="306" t="s">
        <v>87</v>
      </c>
      <c r="AK32" s="307" t="s">
        <v>4</v>
      </c>
      <c r="AL32" s="310" t="s">
        <v>186</v>
      </c>
      <c r="AM32" s="311"/>
    </row>
    <row r="33" spans="1:39" x14ac:dyDescent="0.35">
      <c r="A33" s="306" t="s">
        <v>89</v>
      </c>
      <c r="B33" s="307" t="s">
        <v>14</v>
      </c>
      <c r="C33" s="310" t="s">
        <v>14</v>
      </c>
      <c r="D33" s="311"/>
      <c r="F33" s="306" t="s">
        <v>87</v>
      </c>
      <c r="G33" s="307" t="s">
        <v>14</v>
      </c>
      <c r="H33" s="310" t="s">
        <v>186</v>
      </c>
      <c r="I33" s="311"/>
      <c r="K33" s="306" t="s">
        <v>87</v>
      </c>
      <c r="L33" s="307" t="s">
        <v>14</v>
      </c>
      <c r="M33" s="310" t="s">
        <v>186</v>
      </c>
      <c r="N33" s="311"/>
      <c r="P33" s="306" t="s">
        <v>87</v>
      </c>
      <c r="Q33" s="307" t="s">
        <v>14</v>
      </c>
      <c r="R33" s="310" t="s">
        <v>186</v>
      </c>
      <c r="S33" s="311"/>
      <c r="U33" s="306" t="s">
        <v>87</v>
      </c>
      <c r="V33" s="307" t="s">
        <v>14</v>
      </c>
      <c r="W33" s="310" t="s">
        <v>186</v>
      </c>
      <c r="X33" s="311"/>
      <c r="Z33" s="306" t="s">
        <v>87</v>
      </c>
      <c r="AA33" s="307" t="s">
        <v>14</v>
      </c>
      <c r="AB33" s="310" t="s">
        <v>186</v>
      </c>
      <c r="AC33" s="311"/>
      <c r="AE33" s="306" t="s">
        <v>87</v>
      </c>
      <c r="AF33" s="307" t="s">
        <v>14</v>
      </c>
      <c r="AG33" s="310" t="s">
        <v>186</v>
      </c>
      <c r="AH33" s="311"/>
      <c r="AJ33" s="306" t="s">
        <v>87</v>
      </c>
      <c r="AK33" s="307" t="s">
        <v>14</v>
      </c>
      <c r="AL33" s="310" t="s">
        <v>186</v>
      </c>
      <c r="AM33" s="311"/>
    </row>
    <row r="34" spans="1:39" x14ac:dyDescent="0.35">
      <c r="A34" s="306" t="s">
        <v>187</v>
      </c>
      <c r="B34" s="307" t="s">
        <v>7</v>
      </c>
      <c r="C34" s="310" t="s">
        <v>7</v>
      </c>
      <c r="D34" s="311"/>
      <c r="F34" s="306" t="s">
        <v>89</v>
      </c>
      <c r="G34" s="307" t="s">
        <v>7</v>
      </c>
      <c r="H34" s="310" t="s">
        <v>7</v>
      </c>
      <c r="I34" s="311"/>
      <c r="K34" s="306" t="s">
        <v>88</v>
      </c>
      <c r="L34" s="307" t="s">
        <v>7</v>
      </c>
      <c r="M34" s="310" t="s">
        <v>14</v>
      </c>
      <c r="N34" s="311"/>
      <c r="P34" s="306" t="s">
        <v>88</v>
      </c>
      <c r="Q34" s="307" t="s">
        <v>7</v>
      </c>
      <c r="R34" s="310" t="s">
        <v>7</v>
      </c>
      <c r="S34" s="311"/>
      <c r="U34" s="306" t="s">
        <v>88</v>
      </c>
      <c r="V34" s="307" t="s">
        <v>7</v>
      </c>
      <c r="W34" s="310" t="s">
        <v>14</v>
      </c>
      <c r="X34" s="311"/>
      <c r="Z34" s="306" t="s">
        <v>88</v>
      </c>
      <c r="AA34" s="307" t="s">
        <v>7</v>
      </c>
      <c r="AB34" s="310" t="s">
        <v>14</v>
      </c>
      <c r="AC34" s="311"/>
      <c r="AE34" s="306" t="s">
        <v>87</v>
      </c>
      <c r="AF34" s="307" t="s">
        <v>7</v>
      </c>
      <c r="AG34" s="310" t="s">
        <v>186</v>
      </c>
      <c r="AH34" s="311"/>
      <c r="AJ34" s="306" t="s">
        <v>87</v>
      </c>
      <c r="AK34" s="307" t="s">
        <v>7</v>
      </c>
      <c r="AL34" s="310" t="s">
        <v>186</v>
      </c>
      <c r="AM34" s="311"/>
    </row>
    <row r="35" spans="1:39" x14ac:dyDescent="0.35">
      <c r="A35" s="306" t="s">
        <v>88</v>
      </c>
      <c r="B35" s="307" t="s">
        <v>7</v>
      </c>
      <c r="C35" s="310" t="s">
        <v>7</v>
      </c>
      <c r="D35" s="311"/>
      <c r="F35" s="306" t="s">
        <v>88</v>
      </c>
      <c r="G35" s="307" t="s">
        <v>7</v>
      </c>
      <c r="H35" s="310" t="s">
        <v>7</v>
      </c>
      <c r="I35" s="311"/>
      <c r="K35" s="306" t="s">
        <v>88</v>
      </c>
      <c r="L35" s="307" t="s">
        <v>7</v>
      </c>
      <c r="M35" s="310" t="s">
        <v>7</v>
      </c>
      <c r="N35" s="311"/>
      <c r="P35" s="306" t="s">
        <v>88</v>
      </c>
      <c r="Q35" s="307" t="s">
        <v>7</v>
      </c>
      <c r="R35" s="310" t="s">
        <v>14</v>
      </c>
      <c r="S35" s="311"/>
      <c r="U35" s="306" t="s">
        <v>88</v>
      </c>
      <c r="V35" s="307" t="s">
        <v>7</v>
      </c>
      <c r="W35" s="310" t="s">
        <v>7</v>
      </c>
      <c r="X35" s="311"/>
      <c r="Z35" s="306" t="s">
        <v>88</v>
      </c>
      <c r="AA35" s="307" t="s">
        <v>7</v>
      </c>
      <c r="AB35" s="310" t="s">
        <v>14</v>
      </c>
      <c r="AC35" s="311"/>
      <c r="AE35" s="306" t="s">
        <v>88</v>
      </c>
      <c r="AF35" s="307" t="s">
        <v>7</v>
      </c>
      <c r="AG35" s="310" t="s">
        <v>14</v>
      </c>
      <c r="AH35" s="311"/>
      <c r="AJ35" s="306" t="s">
        <v>87</v>
      </c>
      <c r="AK35" s="307" t="s">
        <v>7</v>
      </c>
      <c r="AL35" s="310" t="s">
        <v>186</v>
      </c>
      <c r="AM35" s="311"/>
    </row>
    <row r="36" spans="1:39" x14ac:dyDescent="0.35">
      <c r="A36" s="306" t="s">
        <v>89</v>
      </c>
      <c r="B36" s="307" t="s">
        <v>7</v>
      </c>
      <c r="C36" s="310" t="s">
        <v>7</v>
      </c>
      <c r="D36" s="311"/>
      <c r="F36" s="306" t="s">
        <v>187</v>
      </c>
      <c r="G36" s="307" t="s">
        <v>7</v>
      </c>
      <c r="H36" s="310" t="s">
        <v>7</v>
      </c>
      <c r="I36" s="311"/>
      <c r="K36" s="306" t="s">
        <v>89</v>
      </c>
      <c r="L36" s="307" t="s">
        <v>7</v>
      </c>
      <c r="M36" s="310" t="s">
        <v>14</v>
      </c>
      <c r="N36" s="311"/>
      <c r="P36" s="306" t="s">
        <v>89</v>
      </c>
      <c r="Q36" s="307" t="s">
        <v>7</v>
      </c>
      <c r="R36" s="310" t="s">
        <v>7</v>
      </c>
      <c r="S36" s="311"/>
      <c r="U36" s="306" t="s">
        <v>87</v>
      </c>
      <c r="V36" s="307" t="s">
        <v>7</v>
      </c>
      <c r="W36" s="310" t="s">
        <v>186</v>
      </c>
      <c r="X36" s="311"/>
      <c r="Z36" s="306" t="s">
        <v>87</v>
      </c>
      <c r="AA36" s="307" t="s">
        <v>7</v>
      </c>
      <c r="AB36" s="310" t="s">
        <v>186</v>
      </c>
      <c r="AC36" s="311"/>
      <c r="AE36" s="306" t="s">
        <v>87</v>
      </c>
      <c r="AF36" s="307" t="s">
        <v>7</v>
      </c>
      <c r="AG36" s="310" t="s">
        <v>186</v>
      </c>
      <c r="AH36" s="311"/>
      <c r="AJ36" s="306" t="s">
        <v>87</v>
      </c>
      <c r="AK36" s="307" t="s">
        <v>7</v>
      </c>
      <c r="AL36" s="310" t="s">
        <v>186</v>
      </c>
      <c r="AM36" s="311"/>
    </row>
    <row r="37" spans="1:39" x14ac:dyDescent="0.35">
      <c r="A37" s="306" t="s">
        <v>187</v>
      </c>
      <c r="B37" s="307" t="s">
        <v>7</v>
      </c>
      <c r="C37" s="310" t="s">
        <v>14</v>
      </c>
      <c r="D37" s="311"/>
      <c r="F37" s="306" t="s">
        <v>89</v>
      </c>
      <c r="G37" s="307" t="s">
        <v>7</v>
      </c>
      <c r="H37" s="310" t="s">
        <v>14</v>
      </c>
      <c r="I37" s="311"/>
      <c r="K37" s="306" t="s">
        <v>88</v>
      </c>
      <c r="L37" s="307" t="s">
        <v>7</v>
      </c>
      <c r="M37" s="310" t="s">
        <v>7</v>
      </c>
      <c r="N37" s="311"/>
      <c r="P37" s="306" t="s">
        <v>88</v>
      </c>
      <c r="Q37" s="307" t="s">
        <v>7</v>
      </c>
      <c r="R37" s="310" t="s">
        <v>14</v>
      </c>
      <c r="S37" s="311"/>
      <c r="U37" s="306" t="s">
        <v>88</v>
      </c>
      <c r="V37" s="307" t="s">
        <v>7</v>
      </c>
      <c r="W37" s="310" t="s">
        <v>7</v>
      </c>
      <c r="X37" s="311"/>
      <c r="Z37" s="306" t="s">
        <v>88</v>
      </c>
      <c r="AA37" s="307" t="s">
        <v>7</v>
      </c>
      <c r="AB37" s="310" t="s">
        <v>7</v>
      </c>
      <c r="AC37" s="311"/>
      <c r="AE37" s="306" t="s">
        <v>88</v>
      </c>
      <c r="AF37" s="307" t="s">
        <v>7</v>
      </c>
      <c r="AG37" s="310" t="s">
        <v>7</v>
      </c>
      <c r="AH37" s="311"/>
      <c r="AJ37" s="306" t="s">
        <v>88</v>
      </c>
      <c r="AK37" s="307" t="s">
        <v>7</v>
      </c>
      <c r="AL37" s="310" t="s">
        <v>7</v>
      </c>
      <c r="AM37" s="311"/>
    </row>
    <row r="38" spans="1:39" x14ac:dyDescent="0.35">
      <c r="A38" s="306" t="s">
        <v>87</v>
      </c>
      <c r="B38" s="307" t="s">
        <v>7</v>
      </c>
      <c r="C38" s="310" t="s">
        <v>186</v>
      </c>
      <c r="D38" s="311"/>
      <c r="F38" s="306" t="s">
        <v>87</v>
      </c>
      <c r="G38" s="307" t="s">
        <v>7</v>
      </c>
      <c r="H38" s="310" t="s">
        <v>186</v>
      </c>
      <c r="I38" s="311"/>
      <c r="K38" s="306" t="s">
        <v>87</v>
      </c>
      <c r="L38" s="307" t="s">
        <v>7</v>
      </c>
      <c r="M38" s="310" t="s">
        <v>186</v>
      </c>
      <c r="N38" s="311"/>
      <c r="P38" s="306" t="s">
        <v>87</v>
      </c>
      <c r="Q38" s="307" t="s">
        <v>7</v>
      </c>
      <c r="R38" s="310" t="s">
        <v>186</v>
      </c>
      <c r="S38" s="311"/>
      <c r="U38" s="306" t="s">
        <v>87</v>
      </c>
      <c r="V38" s="307" t="s">
        <v>7</v>
      </c>
      <c r="W38" s="310" t="s">
        <v>186</v>
      </c>
      <c r="X38" s="311"/>
      <c r="Z38" s="306" t="s">
        <v>87</v>
      </c>
      <c r="AA38" s="307" t="s">
        <v>7</v>
      </c>
      <c r="AB38" s="310" t="s">
        <v>186</v>
      </c>
      <c r="AC38" s="311"/>
      <c r="AE38" s="306" t="s">
        <v>87</v>
      </c>
      <c r="AF38" s="307" t="s">
        <v>7</v>
      </c>
      <c r="AG38" s="310" t="s">
        <v>186</v>
      </c>
      <c r="AH38" s="311"/>
      <c r="AJ38" s="306" t="s">
        <v>87</v>
      </c>
      <c r="AK38" s="307" t="s">
        <v>7</v>
      </c>
      <c r="AL38" s="310" t="s">
        <v>186</v>
      </c>
      <c r="AM38" s="311"/>
    </row>
    <row r="39" spans="1:39" x14ac:dyDescent="0.35">
      <c r="A39" s="306" t="s">
        <v>88</v>
      </c>
      <c r="B39" s="307" t="s">
        <v>14</v>
      </c>
      <c r="C39" s="310" t="s">
        <v>7</v>
      </c>
      <c r="D39" s="311"/>
      <c r="F39" s="306" t="s">
        <v>87</v>
      </c>
      <c r="G39" s="307" t="s">
        <v>14</v>
      </c>
      <c r="H39" s="310" t="s">
        <v>186</v>
      </c>
      <c r="I39" s="311"/>
      <c r="K39" s="306" t="s">
        <v>87</v>
      </c>
      <c r="L39" s="307" t="s">
        <v>14</v>
      </c>
      <c r="M39" s="310" t="s">
        <v>186</v>
      </c>
      <c r="N39" s="311"/>
      <c r="P39" s="306" t="s">
        <v>87</v>
      </c>
      <c r="Q39" s="307" t="s">
        <v>14</v>
      </c>
      <c r="R39" s="310" t="s">
        <v>186</v>
      </c>
      <c r="S39" s="311"/>
      <c r="U39" s="306" t="s">
        <v>87</v>
      </c>
      <c r="V39" s="307" t="s">
        <v>14</v>
      </c>
      <c r="W39" s="310" t="s">
        <v>186</v>
      </c>
      <c r="X39" s="311"/>
      <c r="Z39" s="306" t="s">
        <v>87</v>
      </c>
      <c r="AA39" s="307" t="s">
        <v>14</v>
      </c>
      <c r="AB39" s="310" t="s">
        <v>186</v>
      </c>
      <c r="AC39" s="311"/>
      <c r="AE39" s="306" t="s">
        <v>87</v>
      </c>
      <c r="AF39" s="307" t="s">
        <v>14</v>
      </c>
      <c r="AG39" s="310" t="s">
        <v>186</v>
      </c>
      <c r="AH39" s="311"/>
      <c r="AJ39" s="306" t="s">
        <v>87</v>
      </c>
      <c r="AK39" s="307" t="s">
        <v>14</v>
      </c>
      <c r="AL39" s="310" t="s">
        <v>186</v>
      </c>
      <c r="AM39" s="311"/>
    </row>
    <row r="40" spans="1:39" x14ac:dyDescent="0.35">
      <c r="A40" s="306" t="s">
        <v>88</v>
      </c>
      <c r="B40" s="307" t="s">
        <v>4</v>
      </c>
      <c r="C40" s="312" t="s">
        <v>14</v>
      </c>
      <c r="D40" s="313"/>
      <c r="F40" s="306" t="s">
        <v>88</v>
      </c>
      <c r="G40" s="307" t="s">
        <v>4</v>
      </c>
      <c r="H40" s="312" t="s">
        <v>7</v>
      </c>
      <c r="I40" s="313"/>
      <c r="K40" s="306" t="s">
        <v>87</v>
      </c>
      <c r="L40" s="307" t="s">
        <v>4</v>
      </c>
      <c r="M40" s="312" t="s">
        <v>186</v>
      </c>
      <c r="N40" s="313"/>
      <c r="P40" s="306" t="s">
        <v>87</v>
      </c>
      <c r="Q40" s="307" t="s">
        <v>4</v>
      </c>
      <c r="R40" s="312" t="s">
        <v>186</v>
      </c>
      <c r="S40" s="313"/>
      <c r="U40" s="306" t="s">
        <v>87</v>
      </c>
      <c r="V40" s="307" t="s">
        <v>4</v>
      </c>
      <c r="W40" s="312" t="s">
        <v>186</v>
      </c>
      <c r="X40" s="313"/>
      <c r="Z40" s="306" t="s">
        <v>87</v>
      </c>
      <c r="AA40" s="307" t="s">
        <v>4</v>
      </c>
      <c r="AB40" s="312" t="s">
        <v>186</v>
      </c>
      <c r="AC40" s="313"/>
      <c r="AE40" s="306" t="s">
        <v>87</v>
      </c>
      <c r="AF40" s="307" t="s">
        <v>4</v>
      </c>
      <c r="AG40" s="312" t="s">
        <v>186</v>
      </c>
      <c r="AH40" s="313"/>
      <c r="AJ40" s="306" t="s">
        <v>87</v>
      </c>
      <c r="AK40" s="307" t="s">
        <v>4</v>
      </c>
      <c r="AL40" s="312" t="s">
        <v>186</v>
      </c>
      <c r="AM40" s="313"/>
    </row>
  </sheetData>
  <conditionalFormatting sqref="A5:D39 F5:I39 K5:N39 U5:X39 Z5:AC39 AE5:AH39 AJ5:AM39">
    <cfRule type="expression" dxfId="15" priority="71">
      <formula>LEFT($AK5)&lt;&gt;LEFT($AK6)</formula>
    </cfRule>
  </conditionalFormatting>
  <conditionalFormatting sqref="A40:D40 F40:I40 K40:N40 U40:X40 Z40:AC40 AE40:AH40 AJ40:AM40">
    <cfRule type="expression" dxfId="14" priority="70">
      <formula>LEFT($AK40)&lt;&gt;LEFT($B41)</formula>
    </cfRule>
  </conditionalFormatting>
  <conditionalFormatting sqref="C5:C40">
    <cfRule type="expression" dxfId="13" priority="56">
      <formula>OR(A5="Min comp",A5="Comp")</formula>
    </cfRule>
  </conditionalFormatting>
  <conditionalFormatting sqref="H5:H40">
    <cfRule type="expression" dxfId="12" priority="14">
      <formula>OR(F5="Min comp",F5="Comp")</formula>
    </cfRule>
  </conditionalFormatting>
  <conditionalFormatting sqref="M5:M40">
    <cfRule type="expression" dxfId="11" priority="12">
      <formula>OR(K5="Min comp",K5="Comp")</formula>
    </cfRule>
  </conditionalFormatting>
  <conditionalFormatting sqref="P5:S39">
    <cfRule type="expression" dxfId="10" priority="79">
      <formula>LEFT($AK5)&lt;&gt;LEFT($AK6)</formula>
    </cfRule>
  </conditionalFormatting>
  <conditionalFormatting sqref="P40:S40">
    <cfRule type="expression" dxfId="9" priority="99">
      <formula>LEFT($AK40)&lt;&gt;LEFT($B41)</formula>
    </cfRule>
  </conditionalFormatting>
  <conditionalFormatting sqref="R5:R40">
    <cfRule type="expression" dxfId="8" priority="10">
      <formula>OR(P5="Min comp",P5="Comp")</formula>
    </cfRule>
  </conditionalFormatting>
  <conditionalFormatting sqref="W5:W40">
    <cfRule type="expression" dxfId="7" priority="8">
      <formula>OR(U5="Min comp",U5="Comp")</formula>
    </cfRule>
  </conditionalFormatting>
  <conditionalFormatting sqref="AB5:AB40">
    <cfRule type="expression" dxfId="6" priority="6">
      <formula>OR(Z5="Min comp",Z5="Comp")</formula>
    </cfRule>
  </conditionalFormatting>
  <conditionalFormatting sqref="AG5:AG40">
    <cfRule type="expression" dxfId="5" priority="4">
      <formula>OR(AE5="Min comp",AE5="Comp")</formula>
    </cfRule>
  </conditionalFormatting>
  <conditionalFormatting sqref="AL5:AL40">
    <cfRule type="expression" dxfId="4" priority="2">
      <formula>OR(AJ5="Min comp",AJ5="Comp")</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3B5D9-C559-4B1B-B303-918D5EB4A53E}">
  <sheetPr>
    <tabColor rgb="FFFFC000"/>
  </sheetPr>
  <dimension ref="A1:BJ87"/>
  <sheetViews>
    <sheetView showGridLines="0" topLeftCell="I1" zoomScale="85" zoomScaleNormal="85" workbookViewId="0">
      <selection activeCell="AK7" sqref="AK7"/>
    </sheetView>
  </sheetViews>
  <sheetFormatPr defaultRowHeight="14.5" x14ac:dyDescent="0.35"/>
  <cols>
    <col min="1" max="1" width="12.08984375" bestFit="1" customWidth="1"/>
    <col min="5" max="5" width="8.6328125" customWidth="1"/>
    <col min="13" max="13" width="6" style="44" bestFit="1" customWidth="1"/>
    <col min="14" max="14" width="3.08984375" customWidth="1"/>
    <col min="15" max="16" width="3.08984375" style="127" customWidth="1"/>
    <col min="17" max="37" width="3.08984375" customWidth="1"/>
  </cols>
  <sheetData>
    <row r="1" spans="1:62" x14ac:dyDescent="0.35">
      <c r="A1" s="282" t="s">
        <v>179</v>
      </c>
    </row>
    <row r="2" spans="1:62" x14ac:dyDescent="0.35">
      <c r="A2" s="282" t="s">
        <v>178</v>
      </c>
    </row>
    <row r="3" spans="1:62" x14ac:dyDescent="0.35">
      <c r="A3" s="125" t="s">
        <v>152</v>
      </c>
      <c r="B3" s="210" t="s">
        <v>163</v>
      </c>
      <c r="C3" s="210" t="s">
        <v>164</v>
      </c>
      <c r="D3" s="210" t="s">
        <v>165</v>
      </c>
      <c r="E3" s="210" t="s">
        <v>166</v>
      </c>
      <c r="F3" s="210" t="s">
        <v>167</v>
      </c>
      <c r="G3" s="210" t="s">
        <v>168</v>
      </c>
      <c r="H3" s="210" t="s">
        <v>169</v>
      </c>
      <c r="I3" s="210" t="s">
        <v>170</v>
      </c>
      <c r="M3" s="282" t="s">
        <v>180</v>
      </c>
    </row>
    <row r="4" spans="1:62" x14ac:dyDescent="0.35">
      <c r="A4" s="170" t="s">
        <v>173</v>
      </c>
      <c r="B4" s="232">
        <f>IF('SA1'!$G$4="",0,1)</f>
        <v>1</v>
      </c>
      <c r="C4" s="233">
        <f>IF('SA2'!$G$4="",0,1)</f>
        <v>1</v>
      </c>
      <c r="D4" s="233">
        <f>IF('SA3'!$G$4="",0,1)</f>
        <v>1</v>
      </c>
      <c r="E4" s="233">
        <f>IF('SA4'!$G$4="",0,1)</f>
        <v>0</v>
      </c>
      <c r="F4" s="233">
        <f>IF('SA5'!$G$4="",0,1)</f>
        <v>0</v>
      </c>
      <c r="G4" s="233">
        <f>IF('SA6'!$G$4="",0,1)</f>
        <v>0</v>
      </c>
      <c r="H4" s="233">
        <f>IF('SA7'!$G$4="",0,1)</f>
        <v>0</v>
      </c>
      <c r="I4" s="234">
        <f>IF('SA8'!$G$4="",0,1)</f>
        <v>0</v>
      </c>
      <c r="M4" s="282" t="s">
        <v>181</v>
      </c>
    </row>
    <row r="5" spans="1:62" x14ac:dyDescent="0.35">
      <c r="A5" s="171" t="s">
        <v>84</v>
      </c>
      <c r="B5" s="235">
        <f>COUNTA(EnterData_1[Rate])</f>
        <v>36</v>
      </c>
      <c r="C5" s="236">
        <f>COUNTA(EnterData_2[Rate])</f>
        <v>36</v>
      </c>
      <c r="D5" s="236">
        <f>COUNTA(EnterData_3[Rate])</f>
        <v>36</v>
      </c>
      <c r="E5" s="236">
        <f>COUNTA(EnterData_4[Rate])</f>
        <v>0</v>
      </c>
      <c r="F5" s="236">
        <f>COUNTA(EnterData_5[Rate])</f>
        <v>0</v>
      </c>
      <c r="G5" s="236">
        <f>COUNTA(EnterData_6[Rate])</f>
        <v>0</v>
      </c>
      <c r="H5" s="236">
        <f>COUNTA(EnterData_7[Rate])</f>
        <v>0</v>
      </c>
      <c r="I5" s="237">
        <f>COUNTA(EnterData_8[Rate])</f>
        <v>0</v>
      </c>
    </row>
    <row r="6" spans="1:62" x14ac:dyDescent="0.35">
      <c r="A6" s="171" t="s">
        <v>85</v>
      </c>
      <c r="B6" s="235">
        <f>36-COUNTIFS(EnterData_1[Essential],"")</f>
        <v>36</v>
      </c>
      <c r="C6" s="236">
        <f>36-COUNTIFS(EnterData_2[Essential],"")</f>
        <v>36</v>
      </c>
      <c r="D6" s="236">
        <f>36-COUNTIFS(EnterData_3[Essential],"")</f>
        <v>36</v>
      </c>
      <c r="E6" s="236">
        <f>36-COUNTIFS(EnterData_4[Essential],"")</f>
        <v>36</v>
      </c>
      <c r="F6" s="236">
        <f>36-COUNTIFS(EnterData_5[Essential],"")</f>
        <v>36</v>
      </c>
      <c r="G6" s="236">
        <f>36-COUNTIFS(EnterData_6[Essential],"")</f>
        <v>36</v>
      </c>
      <c r="H6" s="236">
        <f>36-COUNTIFS(EnterData_7[Essential],"")</f>
        <v>36</v>
      </c>
      <c r="I6" s="237">
        <f>36-COUNTIFS(EnterData_8[Essential],"")</f>
        <v>36</v>
      </c>
      <c r="N6" s="210" t="s">
        <v>163</v>
      </c>
      <c r="O6" s="211"/>
      <c r="P6" s="212"/>
      <c r="Q6" s="210" t="s">
        <v>164</v>
      </c>
      <c r="R6" s="211"/>
      <c r="S6" s="212"/>
      <c r="T6" s="210" t="s">
        <v>165</v>
      </c>
      <c r="U6" s="211"/>
      <c r="V6" s="212"/>
      <c r="W6" s="210" t="s">
        <v>166</v>
      </c>
      <c r="X6" s="211"/>
      <c r="Y6" s="212"/>
      <c r="Z6" s="210" t="s">
        <v>167</v>
      </c>
      <c r="AA6" s="211"/>
      <c r="AB6" s="212"/>
      <c r="AC6" s="210" t="s">
        <v>168</v>
      </c>
      <c r="AD6" s="211"/>
      <c r="AE6" s="212"/>
      <c r="AF6" s="210" t="s">
        <v>169</v>
      </c>
      <c r="AG6" s="211"/>
      <c r="AH6" s="212"/>
      <c r="AI6" s="210" t="s">
        <v>170</v>
      </c>
      <c r="AJ6" s="211"/>
      <c r="AK6" s="212"/>
    </row>
    <row r="7" spans="1:62" x14ac:dyDescent="0.35">
      <c r="A7" s="244" t="s">
        <v>86</v>
      </c>
      <c r="B7" s="238">
        <f>COUNTIFS(EnterData_1[Rate],"Min comp",EnterData_1[Improve],"&lt;&gt;")+COUNTIFS(EnterData_1[Rate],"Comp",EnterData_1[Improve],"&lt;&gt;")+COUNTIFS(EnterData_1[Rate],"Hi Comp")</f>
        <v>36</v>
      </c>
      <c r="C7" s="239">
        <f>COUNTIFS(EnterData_2[Rate],"Min comp",EnterData_2[Improve],"&lt;&gt;")+COUNTIFS(EnterData_2[Rate],"Comp",EnterData_2[Improve],"&lt;&gt;")+COUNTIFS(EnterData_2[Rate],"Hi Comp")</f>
        <v>36</v>
      </c>
      <c r="D7" s="239">
        <f>COUNTIFS(EnterData_3[Rate],"Min comp",EnterData_3[Improve],"&lt;&gt;")+COUNTIFS(EnterData_3[Rate],"Comp",EnterData_3[Improve],"&lt;&gt;")+COUNTIFS(EnterData_3[Rate],"Hi Comp")</f>
        <v>36</v>
      </c>
      <c r="E7" s="239">
        <f>COUNTIFS(EnterData_4[Rate],"Min comp",EnterData_4[Improve],"&lt;&gt;")+COUNTIFS(EnterData_4[Rate],"Comp",EnterData_4[Improve],"&lt;&gt;")+COUNTIFS(EnterData_4[Rate],"Hi Comp")</f>
        <v>0</v>
      </c>
      <c r="F7" s="239">
        <f>COUNTIFS(EnterData_5[Rate],"Min comp",EnterData_5[Improve],"&lt;&gt;")+COUNTIFS(EnterData_5[Rate],"Comp",EnterData_5[Improve],"&lt;&gt;")+COUNTIFS(EnterData_5[Rate],"Hi Comp")</f>
        <v>0</v>
      </c>
      <c r="G7" s="239">
        <f>COUNTIFS(EnterData_6[Rate],"Min comp",EnterData_6[Improve],"&lt;&gt;")+COUNTIFS(EnterData_6[Rate],"Comp",EnterData_6[Improve],"&lt;&gt;")+COUNTIFS(EnterData_6[Rate],"Hi Comp")</f>
        <v>0</v>
      </c>
      <c r="H7" s="239">
        <f>COUNTIFS(EnterData_7[Rate],"Min comp",EnterData_7[Improve],"&lt;&gt;")+COUNTIFS(EnterData_7[Rate],"Comp",EnterData_7[Improve],"&lt;&gt;")+COUNTIFS(EnterData_7[Rate],"Hi Comp")</f>
        <v>0</v>
      </c>
      <c r="I7" s="240">
        <f>COUNTIFS(EnterData_8[Rate],"Min comp",EnterData_8[Improve],"&lt;&gt;")+COUNTIFS(EnterData_8[Rate],"Comp",EnterData_8[Improve],"&lt;&gt;")+COUNTIFS(EnterData_8[Rate],"Hi Comp")</f>
        <v>0</v>
      </c>
      <c r="M7" s="213" t="s">
        <v>172</v>
      </c>
      <c r="N7" s="214">
        <f>IF('Overview of data entered'!$C$4="yes",1,0)*N9*B4</f>
        <v>1</v>
      </c>
      <c r="O7" s="215">
        <f>IF('Overview of data entered'!$D$4="yes",1,0)*N9*B4</f>
        <v>1</v>
      </c>
      <c r="P7" s="216">
        <f>IF('Overview of data entered'!$E$4="yes",1,0)*N9*B4</f>
        <v>0</v>
      </c>
      <c r="Q7" s="214">
        <f>IF('Overview of data entered'!$C$4="yes",1,0)*Q9*C4</f>
        <v>1</v>
      </c>
      <c r="R7" s="215">
        <f>IF('Overview of data entered'!$D$4="yes",1,0)*Q9*C4</f>
        <v>1</v>
      </c>
      <c r="S7" s="216">
        <f>IF('Overview of data entered'!$E$4="yes",1,0)*Q9*C4</f>
        <v>0</v>
      </c>
      <c r="T7" s="214">
        <f>IF('Overview of data entered'!$C$4="yes",1,0)*T9*D4</f>
        <v>1</v>
      </c>
      <c r="U7" s="215">
        <f>IF('Overview of data entered'!$D$4="yes",1,0)*T9*D4</f>
        <v>1</v>
      </c>
      <c r="V7" s="216">
        <f>IF('Overview of data entered'!$E$4="yes",1,0)*T9*D4</f>
        <v>0</v>
      </c>
      <c r="W7" s="214">
        <f>IF('Overview of data entered'!$C$4="yes",1,0)*W9*E4</f>
        <v>0</v>
      </c>
      <c r="X7" s="215">
        <f>IF('Overview of data entered'!$D$4="yes",1,0)*W9*E4</f>
        <v>0</v>
      </c>
      <c r="Y7" s="216">
        <f>IF('Overview of data entered'!$E$4="yes",1,0)*W9*E4</f>
        <v>0</v>
      </c>
      <c r="Z7" s="214">
        <f>IF('Overview of data entered'!$C$4="yes",1,0)*Z9*F4</f>
        <v>0</v>
      </c>
      <c r="AA7" s="215">
        <f>IF('Overview of data entered'!$D$4="yes",1,0)*Z9*F4</f>
        <v>0</v>
      </c>
      <c r="AB7" s="216">
        <f>IF('Overview of data entered'!$E$4="yes",1,0)*Z9*F4</f>
        <v>0</v>
      </c>
      <c r="AC7" s="214">
        <f>IF('Overview of data entered'!$C$4="yes",1,0)*AC9*G4</f>
        <v>0</v>
      </c>
      <c r="AD7" s="215">
        <f>IF('Overview of data entered'!$D$4="yes",1,0)*AC9*G4</f>
        <v>0</v>
      </c>
      <c r="AE7" s="216">
        <f>IF('Overview of data entered'!$E$4="yes",1,0)*AC9*G4</f>
        <v>0</v>
      </c>
      <c r="AF7" s="214">
        <f>IF('Overview of data entered'!$C$4="yes",1,0)*AF9*H4</f>
        <v>0</v>
      </c>
      <c r="AG7" s="215">
        <f>IF('Overview of data entered'!$D$4="yes",1,0)*AF9*H4</f>
        <v>0</v>
      </c>
      <c r="AH7" s="216">
        <f>IF('Overview of data entered'!$E$4="yes",1,0)*AF9*H4</f>
        <v>0</v>
      </c>
      <c r="AI7" s="214">
        <f>IF('Overview of data entered'!$C$4="yes",1,0)*AI9*I4</f>
        <v>0</v>
      </c>
      <c r="AJ7" s="215">
        <f>IF('Overview of data entered'!$D$4="yes",1,0)*AI9*I4</f>
        <v>0</v>
      </c>
      <c r="AK7" s="216">
        <f>IF('Overview of data entered'!$E$4="yes",1,0)*AI9*I4</f>
        <v>0</v>
      </c>
    </row>
    <row r="8" spans="1:62" x14ac:dyDescent="0.35">
      <c r="A8" s="191" t="s">
        <v>153</v>
      </c>
      <c r="B8" s="241">
        <f>B4*(B5=B6)*(B6=B7)*(B7=36)</f>
        <v>1</v>
      </c>
      <c r="C8" s="242">
        <f t="shared" ref="C8:I8" si="0">C4*(C5=C6)*(C6=C7)*(C7=36)</f>
        <v>1</v>
      </c>
      <c r="D8" s="242">
        <f t="shared" si="0"/>
        <v>1</v>
      </c>
      <c r="E8" s="242">
        <f t="shared" si="0"/>
        <v>0</v>
      </c>
      <c r="F8" s="242">
        <f t="shared" si="0"/>
        <v>0</v>
      </c>
      <c r="G8" s="242">
        <f t="shared" si="0"/>
        <v>0</v>
      </c>
      <c r="H8" s="242">
        <f t="shared" si="0"/>
        <v>0</v>
      </c>
      <c r="I8" s="243">
        <f t="shared" si="0"/>
        <v>0</v>
      </c>
      <c r="AM8" s="282" t="s">
        <v>182</v>
      </c>
    </row>
    <row r="9" spans="1:62" x14ac:dyDescent="0.35">
      <c r="B9" s="167" t="str">
        <f>$A$12&amp;" "&amp;B$12</f>
        <v>Learning Plan 1</v>
      </c>
      <c r="C9" s="168" t="str">
        <f t="shared" ref="C9:I9" si="1">$A$12&amp;" "&amp;C$12</f>
        <v>Learning Plan 2</v>
      </c>
      <c r="D9" s="168" t="str">
        <f t="shared" si="1"/>
        <v>Learning Plan 3</v>
      </c>
      <c r="E9" s="168" t="str">
        <f t="shared" si="1"/>
        <v>Learning Plan 4</v>
      </c>
      <c r="F9" s="168" t="str">
        <f t="shared" si="1"/>
        <v>Learning Plan 5</v>
      </c>
      <c r="G9" s="168" t="str">
        <f t="shared" si="1"/>
        <v>Learning Plan 6</v>
      </c>
      <c r="H9" s="168" t="str">
        <f t="shared" si="1"/>
        <v>Learning Plan 7</v>
      </c>
      <c r="I9" s="169" t="str">
        <f t="shared" si="1"/>
        <v>Learning Plan 8</v>
      </c>
      <c r="M9" s="213" t="s">
        <v>171</v>
      </c>
      <c r="N9" s="217">
        <f>IF(LEN(_xlfn.TEXTJOIN("",TRUE,N13:P48))&gt;0,1,0)*B4</f>
        <v>1</v>
      </c>
      <c r="O9" s="218"/>
      <c r="P9" s="219"/>
      <c r="Q9" s="217">
        <f>IF(LEN(_xlfn.TEXTJOIN("",TRUE,Q13:S48))&gt;0,1,0)*C4</f>
        <v>1</v>
      </c>
      <c r="R9" s="218"/>
      <c r="S9" s="219"/>
      <c r="T9" s="217">
        <f>IF(LEN(_xlfn.TEXTJOIN("",TRUE,T13:V48))&gt;0,1,0)*D4</f>
        <v>1</v>
      </c>
      <c r="U9" s="218"/>
      <c r="V9" s="219"/>
      <c r="W9" s="217">
        <f>IF(LEN(_xlfn.TEXTJOIN("",TRUE,W13:Y48))&gt;0,1,0)*E4</f>
        <v>0</v>
      </c>
      <c r="X9" s="218"/>
      <c r="Y9" s="219"/>
      <c r="Z9" s="217">
        <f>IF(LEN(_xlfn.TEXTJOIN("",TRUE,Z13:AB48))&gt;0,1,0)*F4</f>
        <v>0</v>
      </c>
      <c r="AA9" s="218"/>
      <c r="AB9" s="219"/>
      <c r="AC9" s="217">
        <f>IF(LEN(_xlfn.TEXTJOIN("",TRUE,AC13:AE48))&gt;0,1,0)*G4</f>
        <v>0</v>
      </c>
      <c r="AD9" s="218"/>
      <c r="AE9" s="219"/>
      <c r="AF9" s="217">
        <f>IF(LEN(_xlfn.TEXTJOIN("",TRUE,AF13:AH48))&gt;0,1,0)*H4</f>
        <v>0</v>
      </c>
      <c r="AG9" s="218"/>
      <c r="AH9" s="219"/>
      <c r="AI9" s="217">
        <f>IF(LEN(_xlfn.TEXTJOIN("",TRUE,AI13:AK48))&gt;0,1,0)*I4</f>
        <v>0</v>
      </c>
      <c r="AJ9" s="218"/>
      <c r="AK9" s="219"/>
      <c r="AM9" s="282" t="s">
        <v>183</v>
      </c>
    </row>
    <row r="10" spans="1:62" x14ac:dyDescent="0.35">
      <c r="B10" s="161" t="str">
        <f>IF(B5&lt;36,"Please complete "&amp;36-B5&amp;" Rating(s) in column D before using the Learning Plan.",IF(B6&lt;36,"Please complete "&amp;36-B6&amp;" Essential assignment(s) in column E before using the Learning Plan.",IF(B7&lt;36,"Please complete "&amp;36-B7&amp;" Improve assignment(s) in column F before using the Learning Plan.","These are the 'Improve? = Yes'  results from Round "&amp;B12&amp;" ("&amp;TEXT(B11,"M/D/YY")&amp;")")))</f>
        <v>These are the 'Improve? = Yes'  results from Round 1 (5/10/24)</v>
      </c>
      <c r="C10" s="161" t="str">
        <f t="shared" ref="C10:I10" si="2">IF(C5&lt;36,"Please complete "&amp;36-C5&amp;" Rating(s) in column D before using the Learning Plan.",IF(C6&lt;36,"Please complete "&amp;36-C6&amp;" Essential assignment(s) in column E before using the Learning Plan.",IF(C7&lt;36,"Please complete "&amp;36-C7&amp;" Improve assignment(s) in column F before using the Learning Plan.","These are the 'Improve? = Yes'  results from Round "&amp;C12&amp;" ("&amp;TEXT(C11,"M/D/YY")&amp;")")))</f>
        <v>These are the 'Improve? = Yes'  results from Round 2 (4/8/25)</v>
      </c>
      <c r="D10" s="161" t="str">
        <f t="shared" si="2"/>
        <v>These are the 'Improve? = Yes'  results from Round 3 (11/20/25)</v>
      </c>
      <c r="E10" s="161" t="str">
        <f t="shared" si="2"/>
        <v>Please complete 36 Rating(s) in column D before using the Learning Plan.</v>
      </c>
      <c r="F10" s="161" t="str">
        <f t="shared" si="2"/>
        <v>Please complete 36 Rating(s) in column D before using the Learning Plan.</v>
      </c>
      <c r="G10" s="161" t="str">
        <f t="shared" si="2"/>
        <v>Please complete 36 Rating(s) in column D before using the Learning Plan.</v>
      </c>
      <c r="H10" s="161" t="str">
        <f t="shared" si="2"/>
        <v>Please complete 36 Rating(s) in column D before using the Learning Plan.</v>
      </c>
      <c r="I10" s="161" t="str">
        <f t="shared" si="2"/>
        <v>Please complete 36 Rating(s) in column D before using the Learning Plan.</v>
      </c>
    </row>
    <row r="11" spans="1:62" x14ac:dyDescent="0.35">
      <c r="B11" s="162">
        <f>_xlfn.LET(_xlpm.x,'SA1'!$G$4,IF(_xlpm.x="","No date entered",_xlpm.x))</f>
        <v>45422</v>
      </c>
      <c r="C11" s="163">
        <f>_xlfn.LET(_xlpm.x,'SA2'!$G$4,IF(_xlpm.x="","No date entered",_xlpm.x))</f>
        <v>45755</v>
      </c>
      <c r="D11" s="163">
        <f>_xlfn.LET(_xlpm.x,'SA3'!$G$4,IF(_xlpm.x="","No date entered",_xlpm.x))</f>
        <v>45981</v>
      </c>
      <c r="E11" s="163" t="str">
        <f>_xlfn.LET(_xlpm.x,'SA4'!$G$4,IF(_xlpm.x="","No date entered",_xlpm.x))</f>
        <v>No date entered</v>
      </c>
      <c r="F11" s="163" t="str">
        <f>_xlfn.LET(_xlpm.x,'SA5'!$G$4,IF(_xlpm.x="","No date entered",_xlpm.x))</f>
        <v>No date entered</v>
      </c>
      <c r="G11" s="163" t="str">
        <f>_xlfn.LET(_xlpm.x,'SA6'!$G$4,IF(_xlpm.x="","No date entered",_xlpm.x))</f>
        <v>No date entered</v>
      </c>
      <c r="H11" s="163" t="str">
        <f>_xlfn.LET(_xlpm.x,'SA7'!$G$4,IF(_xlpm.x="","No date entered",_xlpm.x))</f>
        <v>No date entered</v>
      </c>
      <c r="I11" s="164" t="str">
        <f>_xlfn.LET(_xlpm.x,'SA8'!$G$4,IF(_xlpm.x="","No date entered",_xlpm.x))</f>
        <v>No date entered</v>
      </c>
      <c r="N11" s="210" t="s">
        <v>163</v>
      </c>
      <c r="O11" s="210" t="s">
        <v>163</v>
      </c>
      <c r="P11" s="210" t="s">
        <v>163</v>
      </c>
      <c r="Q11" s="210" t="s">
        <v>164</v>
      </c>
      <c r="R11" s="210" t="s">
        <v>164</v>
      </c>
      <c r="S11" s="210" t="s">
        <v>164</v>
      </c>
      <c r="T11" s="210" t="s">
        <v>165</v>
      </c>
      <c r="U11" s="210" t="s">
        <v>165</v>
      </c>
      <c r="V11" s="210" t="s">
        <v>165</v>
      </c>
      <c r="W11" s="210" t="s">
        <v>166</v>
      </c>
      <c r="X11" s="210" t="s">
        <v>166</v>
      </c>
      <c r="Y11" s="210" t="s">
        <v>166</v>
      </c>
      <c r="Z11" s="210" t="s">
        <v>167</v>
      </c>
      <c r="AA11" s="210" t="s">
        <v>167</v>
      </c>
      <c r="AB11" s="210" t="s">
        <v>167</v>
      </c>
      <c r="AC11" s="210" t="s">
        <v>168</v>
      </c>
      <c r="AD11" s="210" t="s">
        <v>168</v>
      </c>
      <c r="AE11" s="210" t="s">
        <v>168</v>
      </c>
      <c r="AF11" s="210" t="s">
        <v>169</v>
      </c>
      <c r="AG11" s="210" t="s">
        <v>169</v>
      </c>
      <c r="AH11" s="210" t="s">
        <v>169</v>
      </c>
      <c r="AI11" s="210" t="s">
        <v>170</v>
      </c>
      <c r="AJ11" s="210" t="s">
        <v>170</v>
      </c>
      <c r="AK11" s="210" t="s">
        <v>170</v>
      </c>
      <c r="AM11" s="196" t="str" cm="1">
        <f t="array" ref="AM11:AR48">_xlfn._xlws.FILTER(N11:AK48,N7:AK7=1,"")</f>
        <v>SA 1</v>
      </c>
      <c r="AN11" s="165" t="str">
        <v>SA 1</v>
      </c>
      <c r="AO11" s="165" t="str">
        <v>SA 2</v>
      </c>
      <c r="AP11" s="165" t="str">
        <v>SA 2</v>
      </c>
      <c r="AQ11" s="165" t="str">
        <v>SA 3</v>
      </c>
      <c r="AR11" s="165" t="str">
        <v>SA 3</v>
      </c>
      <c r="AS11" s="165"/>
      <c r="AT11" s="165"/>
      <c r="AU11" s="165"/>
      <c r="AV11" s="165"/>
      <c r="AW11" s="165"/>
      <c r="AX11" s="165"/>
      <c r="AY11" s="165"/>
      <c r="AZ11" s="165"/>
      <c r="BA11" s="165"/>
      <c r="BB11" s="165"/>
      <c r="BC11" s="165"/>
      <c r="BD11" s="165"/>
      <c r="BE11" s="165"/>
      <c r="BF11" s="165"/>
      <c r="BG11" s="165"/>
      <c r="BH11" s="165"/>
      <c r="BI11" s="165"/>
      <c r="BJ11" s="166"/>
    </row>
    <row r="12" spans="1:62" ht="46.5" x14ac:dyDescent="0.35">
      <c r="A12" s="33" t="s">
        <v>102</v>
      </c>
      <c r="B12" s="159">
        <v>1</v>
      </c>
      <c r="C12" s="28">
        <v>2</v>
      </c>
      <c r="D12" s="28">
        <v>3</v>
      </c>
      <c r="E12" s="28">
        <v>4</v>
      </c>
      <c r="F12" s="28">
        <v>5</v>
      </c>
      <c r="G12" s="28">
        <v>6</v>
      </c>
      <c r="H12" s="28">
        <v>7</v>
      </c>
      <c r="I12" s="160">
        <v>8</v>
      </c>
      <c r="K12" t="s">
        <v>184</v>
      </c>
      <c r="M12" s="192" t="s">
        <v>88</v>
      </c>
      <c r="N12" s="209" t="s">
        <v>84</v>
      </c>
      <c r="O12" s="207" t="s">
        <v>85</v>
      </c>
      <c r="P12" s="208" t="s">
        <v>86</v>
      </c>
      <c r="Q12" s="209" t="s">
        <v>84</v>
      </c>
      <c r="R12" s="207" t="s">
        <v>85</v>
      </c>
      <c r="S12" s="208" t="s">
        <v>86</v>
      </c>
      <c r="T12" s="209" t="s">
        <v>84</v>
      </c>
      <c r="U12" s="207" t="s">
        <v>85</v>
      </c>
      <c r="V12" s="208" t="s">
        <v>86</v>
      </c>
      <c r="W12" s="209" t="s">
        <v>84</v>
      </c>
      <c r="X12" s="207" t="s">
        <v>85</v>
      </c>
      <c r="Y12" s="208" t="s">
        <v>86</v>
      </c>
      <c r="Z12" s="209" t="s">
        <v>84</v>
      </c>
      <c r="AA12" s="207" t="s">
        <v>85</v>
      </c>
      <c r="AB12" s="208" t="s">
        <v>86</v>
      </c>
      <c r="AC12" s="209" t="s">
        <v>84</v>
      </c>
      <c r="AD12" s="207" t="s">
        <v>85</v>
      </c>
      <c r="AE12" s="208" t="s">
        <v>86</v>
      </c>
      <c r="AF12" s="209" t="s">
        <v>84</v>
      </c>
      <c r="AG12" s="207" t="s">
        <v>85</v>
      </c>
      <c r="AH12" s="208" t="s">
        <v>86</v>
      </c>
      <c r="AI12" s="209" t="s">
        <v>84</v>
      </c>
      <c r="AJ12" s="207" t="s">
        <v>85</v>
      </c>
      <c r="AK12" s="208" t="s">
        <v>86</v>
      </c>
      <c r="AM12" s="198" t="str">
        <v>Rate</v>
      </c>
      <c r="AN12" s="199" t="str">
        <v>Essential</v>
      </c>
      <c r="AO12" s="199" t="str">
        <v>Rate</v>
      </c>
      <c r="AP12" s="199" t="str">
        <v>Essential</v>
      </c>
      <c r="AQ12" s="199" t="str">
        <v>Rate</v>
      </c>
      <c r="AR12" s="199" t="str">
        <v>Essential</v>
      </c>
      <c r="AS12" s="199"/>
      <c r="AT12" s="199"/>
      <c r="AU12" s="199"/>
      <c r="AV12" s="199"/>
      <c r="AW12" s="199"/>
      <c r="AX12" s="199"/>
      <c r="AY12" s="199"/>
      <c r="AZ12" s="199"/>
      <c r="BA12" s="199"/>
      <c r="BB12" s="199"/>
      <c r="BC12" s="199"/>
      <c r="BD12" s="199"/>
      <c r="BE12" s="199"/>
      <c r="BF12" s="199"/>
      <c r="BG12" s="199"/>
      <c r="BH12" s="199"/>
      <c r="BI12" s="199"/>
      <c r="BJ12" s="200"/>
    </row>
    <row r="13" spans="1:62" x14ac:dyDescent="0.35">
      <c r="B13" s="156" t="str" cm="1">
        <f t="array" ref="B13:B31">IF(B8=0,"",_xlfn._xlws.FILTER($M$13:$M$48,_xlfn.ANCHORARRAY(P$13)="y",""))</f>
        <v>FD-3</v>
      </c>
      <c r="C13" s="157" t="str" cm="1">
        <f t="array" ref="C13:C29">IF(C8=0,"",_xlfn._xlws.FILTER($M$13:$M$48,_xlfn.ANCHORARRAY(S13)="y",""))</f>
        <v>FD-3</v>
      </c>
      <c r="D13" s="157" t="str" cm="1">
        <f t="array" ref="D13:D23">IF(D8=0,"",_xlfn._xlws.FILTER($M$13:$M$48,_xlfn.ANCHORARRAY(V13)="y",""))</f>
        <v>FD-5</v>
      </c>
      <c r="E13" s="157" t="str" cm="1">
        <f t="array" ref="E13">IF(E8=0,"",_xlfn._xlws.FILTER($M$13:$M$48,_xlfn.ANCHORARRAY(Y13)="y",""))</f>
        <v/>
      </c>
      <c r="F13" s="157" t="str" cm="1">
        <f t="array" ref="F13">IF(F8=0,"",_xlfn._xlws.FILTER($M$13:$M$48,_xlfn.ANCHORARRAY(AB13)="y",""))</f>
        <v/>
      </c>
      <c r="G13" s="157" t="str" cm="1">
        <f t="array" ref="G13">IF(G8=0,"",_xlfn._xlws.FILTER($M$13:$M$48,_xlfn.ANCHORARRAY(AE13)="y",""))</f>
        <v/>
      </c>
      <c r="H13" s="157" t="str" cm="1">
        <f t="array" ref="H13">IF(H8=0,"",_xlfn._xlws.FILTER($M$13:$M$48,_xlfn.ANCHORARRAY(AH13)="y",""))</f>
        <v/>
      </c>
      <c r="I13" s="158" t="str" cm="1">
        <f t="array" ref="I13">IF(I8=0,"",_xlfn._xlws.FILTER($M$13:$M$48,_xlfn.ANCHORARRAY(AK13)="y",""))</f>
        <v/>
      </c>
      <c r="K13" t="str" cm="1">
        <f t="array" ref="K13:K15">TRANSPOSE(_xlfn._xlws.FILTER(B3:I3,B8:I8=1,""))</f>
        <v>SA 1</v>
      </c>
      <c r="M13" s="193" t="s">
        <v>2</v>
      </c>
      <c r="N13" s="220" t="str" cm="1">
        <f t="array" ref="N13:N48">""&amp;INDEX(EnterData_1[Rate],MATCH($M$13:$M$48,EnterData_1[Competency Num],0),1)</f>
        <v>Hi comp</v>
      </c>
      <c r="O13" s="221" t="str" cm="1">
        <f t="array" ref="O13:O48">""&amp;INDEX(EnterData_1[Essential],MATCH($M$13:$M$48,EnterData_1[Competency Num],0),1)</f>
        <v>Y</v>
      </c>
      <c r="P13" s="222" t="str" cm="1">
        <f t="array" ref="P13:P48">IF(_xlfn.ANCHORARRAY(N13)="","",""&amp;INDEX(EnterData_1[Improve],MATCH($M$13:$M$48,EnterData_1[Competency Num],0),1))</f>
        <v/>
      </c>
      <c r="Q13" s="220" t="str" cm="1">
        <f t="array" ref="Q13:Q48">""&amp;INDEX(EnterData_2[Rate],MATCH($M$13:$M$48,EnterData_2[Competency Num],0),1)</f>
        <v>Hi comp</v>
      </c>
      <c r="R13" s="221" t="str" cm="1">
        <f t="array" ref="R13:R48">""&amp;INDEX(EnterData_2[Essential],MATCH($M$13:$M$48,EnterData_2[Competency Num],0),1)</f>
        <v>Y</v>
      </c>
      <c r="S13" s="222" t="str" cm="1">
        <f t="array" ref="S13:S48">IF(_xlfn.ANCHORARRAY(Q13)="","",""&amp;INDEX(EnterData_2[Improve],MATCH($M$13:$M$48,EnterData_2[Competency Num],0),1))</f>
        <v/>
      </c>
      <c r="T13" s="220" t="str" cm="1">
        <f t="array" ref="T13:T48">""&amp;INDEX(EnterData_3[Rate],MATCH($M$13:$M$48,EnterData_3[Competency Num],0),1)</f>
        <v>Hi comp</v>
      </c>
      <c r="U13" s="221" t="str" cm="1">
        <f t="array" ref="U13:U48">""&amp;INDEX(EnterData_3[Essential],MATCH($M$13:$M$48,EnterData_3[Competency Num],0),1)</f>
        <v>Y</v>
      </c>
      <c r="V13" s="222" t="str" cm="1">
        <f t="array" ref="V13:V48">IF(_xlfn.ANCHORARRAY(T13)="","",""&amp;INDEX(EnterData_3[Improve],MATCH($M$13:$M$48,EnterData_3[Competency Num],0),1))</f>
        <v/>
      </c>
      <c r="W13" s="220" t="str" cm="1">
        <f t="array" ref="W13:W48">""&amp;INDEX(EnterData_4[Rate],MATCH($M$13:$M$48,EnterData_4[Competency Num],0),1)</f>
        <v/>
      </c>
      <c r="X13" s="221" t="str" cm="1">
        <f t="array" ref="X13:X48">""&amp;INDEX(EnterData_4[Essential],MATCH($M$13:$M$48,EnterData_4[Competency Num],0),1)</f>
        <v>Y</v>
      </c>
      <c r="Y13" s="222" t="str" cm="1">
        <f t="array" ref="Y13:Y48">IF(_xlfn.ANCHORARRAY(W13)="","",""&amp;INDEX(EnterData_4[Improve],MATCH($M$13:$M$48,EnterData_4[Competency Num],0),1))</f>
        <v/>
      </c>
      <c r="Z13" s="220" t="str" cm="1">
        <f t="array" ref="Z13:Z48">""&amp;INDEX(EnterData_5[Rate],MATCH($M$13:$M$48,EnterData_5[Competency Num],0),1)</f>
        <v/>
      </c>
      <c r="AA13" s="221" t="str" cm="1">
        <f t="array" ref="AA13:AA48">""&amp;INDEX(EnterData_5[Essential],MATCH($M$13:$M$48,EnterData_5[Competency Num],0),1)</f>
        <v>Y</v>
      </c>
      <c r="AB13" s="222" t="str" cm="1">
        <f t="array" ref="AB13:AB48">IF(_xlfn.ANCHORARRAY(Z13)="","",""&amp;INDEX(EnterData_5[Improve],MATCH($M$13:$M$48,EnterData_5[Competency Num],0),1))</f>
        <v/>
      </c>
      <c r="AC13" s="220" t="str" cm="1">
        <f t="array" ref="AC13:AC48">""&amp;INDEX(EnterData_6[Rate],MATCH($M$13:$M$48,EnterData_6[Competency Num],0),1)</f>
        <v/>
      </c>
      <c r="AD13" s="221" t="str" cm="1">
        <f t="array" ref="AD13:AD48">""&amp;INDEX(EnterData_6[Essential],MATCH($M$13:$M$48,EnterData_6[Competency Num],0),1)</f>
        <v>Y</v>
      </c>
      <c r="AE13" s="222" t="str" cm="1">
        <f t="array" ref="AE13:AE48">IF(_xlfn.ANCHORARRAY(AC13)="","",""&amp;INDEX(EnterData_6[Improve],MATCH($M$13:$M$48,EnterData_6[Competency Num],0),1))</f>
        <v/>
      </c>
      <c r="AF13" s="220" t="str" cm="1">
        <f t="array" ref="AF13:AF48">""&amp;INDEX(EnterData_7[Rate],MATCH($M$13:$M$48,EnterData_7[Competency Num],0),1)</f>
        <v/>
      </c>
      <c r="AG13" s="221" t="str" cm="1">
        <f t="array" ref="AG13:AG48">""&amp;INDEX(EnterData_7[Essential],MATCH($M$13:$M$48,EnterData_7[Competency Num],0),1)</f>
        <v>Y</v>
      </c>
      <c r="AH13" s="222" t="str" cm="1">
        <f t="array" ref="AH13:AH48">IF(_xlfn.ANCHORARRAY(AF13)="","",""&amp;INDEX(EnterData_7[Improve],MATCH($M$13:$M$48,EnterData_7[Competency Num],0),1))</f>
        <v/>
      </c>
      <c r="AI13" s="220" t="str" cm="1">
        <f t="array" ref="AI13:AI48">""&amp;INDEX(EnterData_8[Rate],MATCH($M$13:$M$48,EnterData_8[Competency Num],0),1)</f>
        <v/>
      </c>
      <c r="AJ13" s="221" t="str" cm="1">
        <f t="array" ref="AJ13:AJ48">""&amp;INDEX(EnterData_8[Essential],MATCH($M$13:$M$48,EnterData_8[Competency Num],0),1)</f>
        <v>Y</v>
      </c>
      <c r="AK13" s="222" t="str" cm="1">
        <f t="array" ref="AK13:AK48">IF(_xlfn.ANCHORARRAY(AI13)="","",""&amp;INDEX(EnterData_8[Improve],MATCH($M$13:$M$48,EnterData_8[Competency Num],0),1))</f>
        <v/>
      </c>
      <c r="AM13" s="254" t="str">
        <v>Hi comp</v>
      </c>
      <c r="AN13" s="172" t="str">
        <v>Y</v>
      </c>
      <c r="AO13" s="172" t="str">
        <v>Hi comp</v>
      </c>
      <c r="AP13" s="172" t="str">
        <v>Y</v>
      </c>
      <c r="AQ13" s="172" t="str">
        <v>Hi comp</v>
      </c>
      <c r="AR13" s="172" t="str">
        <v>Y</v>
      </c>
      <c r="AS13" s="172"/>
      <c r="AT13" s="172"/>
      <c r="AU13" s="172"/>
      <c r="AV13" s="172"/>
      <c r="AW13" s="172"/>
      <c r="AX13" s="172"/>
      <c r="AY13" s="172"/>
      <c r="AZ13" s="172"/>
      <c r="BA13" s="172"/>
      <c r="BB13" s="172"/>
      <c r="BC13" s="172"/>
      <c r="BD13" s="172"/>
      <c r="BE13" s="172"/>
      <c r="BF13" s="172"/>
      <c r="BG13" s="172"/>
      <c r="BH13" s="172"/>
      <c r="BI13" s="172"/>
      <c r="BJ13" s="255"/>
    </row>
    <row r="14" spans="1:62" x14ac:dyDescent="0.35">
      <c r="B14" s="89" t="str">
        <v>FD-5</v>
      </c>
      <c r="C14" s="88" t="str">
        <v>FD-5</v>
      </c>
      <c r="D14" s="88" t="str">
        <v>FD-6</v>
      </c>
      <c r="E14" s="88"/>
      <c r="F14" s="88"/>
      <c r="G14" s="88"/>
      <c r="H14" s="88"/>
      <c r="I14" s="87"/>
      <c r="K14" t="str">
        <v>SA 2</v>
      </c>
      <c r="M14" s="194" t="s">
        <v>5</v>
      </c>
      <c r="N14" s="223" t="str">
        <v>Hi comp</v>
      </c>
      <c r="O14" s="224" t="str">
        <v>Y</v>
      </c>
      <c r="P14" s="225" t="str">
        <v/>
      </c>
      <c r="Q14" s="223" t="str">
        <v>Hi comp</v>
      </c>
      <c r="R14" s="224" t="str">
        <v>Y</v>
      </c>
      <c r="S14" s="225" t="str">
        <v/>
      </c>
      <c r="T14" s="223" t="str">
        <v>Hi comp</v>
      </c>
      <c r="U14" s="224" t="str">
        <v>Y</v>
      </c>
      <c r="V14" s="225" t="str">
        <v/>
      </c>
      <c r="W14" s="223" t="str">
        <v/>
      </c>
      <c r="X14" s="224" t="str">
        <v>Y</v>
      </c>
      <c r="Y14" s="225" t="str">
        <v/>
      </c>
      <c r="Z14" s="223" t="str">
        <v/>
      </c>
      <c r="AA14" s="224" t="str">
        <v>Y</v>
      </c>
      <c r="AB14" s="225" t="str">
        <v/>
      </c>
      <c r="AC14" s="223" t="str">
        <v/>
      </c>
      <c r="AD14" s="224" t="str">
        <v>Y</v>
      </c>
      <c r="AE14" s="225" t="str">
        <v/>
      </c>
      <c r="AF14" s="223" t="str">
        <v/>
      </c>
      <c r="AG14" s="224" t="str">
        <v>Y</v>
      </c>
      <c r="AH14" s="225" t="str">
        <v/>
      </c>
      <c r="AI14" s="223" t="str">
        <v/>
      </c>
      <c r="AJ14" s="224" t="str">
        <v>Y</v>
      </c>
      <c r="AK14" s="225" t="str">
        <v/>
      </c>
      <c r="AM14" s="197" t="str">
        <v>Hi comp</v>
      </c>
      <c r="AN14" s="40" t="str">
        <v>Y</v>
      </c>
      <c r="AO14" s="40" t="str">
        <v>Hi comp</v>
      </c>
      <c r="AP14" s="40" t="str">
        <v>Y</v>
      </c>
      <c r="AQ14" s="40" t="str">
        <v>Hi comp</v>
      </c>
      <c r="AR14" s="40" t="str">
        <v>Y</v>
      </c>
      <c r="AS14" s="40"/>
      <c r="AT14" s="40"/>
      <c r="AU14" s="40"/>
      <c r="AV14" s="40"/>
      <c r="AW14" s="40"/>
      <c r="AX14" s="40"/>
      <c r="AY14" s="40"/>
      <c r="AZ14" s="40"/>
      <c r="BA14" s="40"/>
      <c r="BB14" s="40"/>
      <c r="BC14" s="40"/>
      <c r="BD14" s="40"/>
      <c r="BE14" s="40"/>
      <c r="BF14" s="40"/>
      <c r="BG14" s="40"/>
      <c r="BH14" s="40"/>
      <c r="BI14" s="40"/>
      <c r="BJ14" s="41"/>
    </row>
    <row r="15" spans="1:62" x14ac:dyDescent="0.35">
      <c r="B15" s="89" t="str">
        <v>FD-6</v>
      </c>
      <c r="C15" s="88" t="str">
        <v>FD-6</v>
      </c>
      <c r="D15" s="88" t="str">
        <v>FD-7</v>
      </c>
      <c r="E15" s="88"/>
      <c r="F15" s="88"/>
      <c r="G15" s="88"/>
      <c r="H15" s="88"/>
      <c r="I15" s="87"/>
      <c r="K15" t="str">
        <v>SA 3</v>
      </c>
      <c r="M15" s="194" t="s">
        <v>8</v>
      </c>
      <c r="N15" s="223" t="str">
        <v>Comp</v>
      </c>
      <c r="O15" s="224" t="str">
        <v>Y</v>
      </c>
      <c r="P15" s="225" t="str">
        <v>Y</v>
      </c>
      <c r="Q15" s="223" t="str">
        <v>Comp</v>
      </c>
      <c r="R15" s="224" t="str">
        <v>Y</v>
      </c>
      <c r="S15" s="225" t="str">
        <v>Y</v>
      </c>
      <c r="T15" s="223" t="str">
        <v>Hi comp</v>
      </c>
      <c r="U15" s="224" t="str">
        <v>Y</v>
      </c>
      <c r="V15" s="225" t="str">
        <v/>
      </c>
      <c r="W15" s="223" t="str">
        <v/>
      </c>
      <c r="X15" s="224" t="str">
        <v>Y</v>
      </c>
      <c r="Y15" s="225" t="str">
        <v/>
      </c>
      <c r="Z15" s="223" t="str">
        <v/>
      </c>
      <c r="AA15" s="224" t="str">
        <v>Y</v>
      </c>
      <c r="AB15" s="225" t="str">
        <v/>
      </c>
      <c r="AC15" s="223" t="str">
        <v/>
      </c>
      <c r="AD15" s="224" t="str">
        <v>Y</v>
      </c>
      <c r="AE15" s="225" t="str">
        <v/>
      </c>
      <c r="AF15" s="223" t="str">
        <v/>
      </c>
      <c r="AG15" s="224" t="str">
        <v>Y</v>
      </c>
      <c r="AH15" s="225" t="str">
        <v/>
      </c>
      <c r="AI15" s="223" t="str">
        <v/>
      </c>
      <c r="AJ15" s="224" t="str">
        <v>Y</v>
      </c>
      <c r="AK15" s="225" t="str">
        <v/>
      </c>
      <c r="AM15" s="197" t="str">
        <v>Comp</v>
      </c>
      <c r="AN15" s="40" t="str">
        <v>Y</v>
      </c>
      <c r="AO15" s="40" t="str">
        <v>Comp</v>
      </c>
      <c r="AP15" s="40" t="str">
        <v>Y</v>
      </c>
      <c r="AQ15" s="40" t="str">
        <v>Hi comp</v>
      </c>
      <c r="AR15" s="40" t="str">
        <v>Y</v>
      </c>
      <c r="AS15" s="40"/>
      <c r="AT15" s="40"/>
      <c r="AU15" s="40"/>
      <c r="AV15" s="40"/>
      <c r="AW15" s="40"/>
      <c r="AX15" s="40"/>
      <c r="AY15" s="40"/>
      <c r="AZ15" s="40"/>
      <c r="BA15" s="40"/>
      <c r="BB15" s="40"/>
      <c r="BC15" s="40"/>
      <c r="BD15" s="40"/>
      <c r="BE15" s="40"/>
      <c r="BF15" s="40"/>
      <c r="BG15" s="40"/>
      <c r="BH15" s="40"/>
      <c r="BI15" s="40"/>
      <c r="BJ15" s="41"/>
    </row>
    <row r="16" spans="1:62" x14ac:dyDescent="0.35">
      <c r="B16" s="89" t="str">
        <v>FD-7</v>
      </c>
      <c r="C16" s="88" t="str">
        <v>FD-7</v>
      </c>
      <c r="D16" s="88" t="str">
        <v>FD-9</v>
      </c>
      <c r="E16" s="88"/>
      <c r="F16" s="88"/>
      <c r="G16" s="88"/>
      <c r="H16" s="88"/>
      <c r="I16" s="87"/>
      <c r="M16" s="194" t="s">
        <v>10</v>
      </c>
      <c r="N16" s="223" t="str">
        <v>Hi comp</v>
      </c>
      <c r="O16" s="224" t="str">
        <v>Y</v>
      </c>
      <c r="P16" s="225" t="str">
        <v/>
      </c>
      <c r="Q16" s="223" t="str">
        <v>Hi comp</v>
      </c>
      <c r="R16" s="224" t="str">
        <v>Y</v>
      </c>
      <c r="S16" s="225" t="str">
        <v/>
      </c>
      <c r="T16" s="223" t="str">
        <v>Hi comp</v>
      </c>
      <c r="U16" s="224" t="str">
        <v>Y</v>
      </c>
      <c r="V16" s="225" t="str">
        <v/>
      </c>
      <c r="W16" s="223" t="str">
        <v/>
      </c>
      <c r="X16" s="224" t="str">
        <v>Y</v>
      </c>
      <c r="Y16" s="225" t="str">
        <v/>
      </c>
      <c r="Z16" s="223" t="str">
        <v/>
      </c>
      <c r="AA16" s="224" t="str">
        <v>Y</v>
      </c>
      <c r="AB16" s="225" t="str">
        <v/>
      </c>
      <c r="AC16" s="223" t="str">
        <v/>
      </c>
      <c r="AD16" s="224" t="str">
        <v>Y</v>
      </c>
      <c r="AE16" s="225" t="str">
        <v/>
      </c>
      <c r="AF16" s="223" t="str">
        <v/>
      </c>
      <c r="AG16" s="224" t="str">
        <v>Y</v>
      </c>
      <c r="AH16" s="225" t="str">
        <v/>
      </c>
      <c r="AI16" s="223" t="str">
        <v/>
      </c>
      <c r="AJ16" s="224" t="str">
        <v>Y</v>
      </c>
      <c r="AK16" s="225" t="str">
        <v/>
      </c>
      <c r="AM16" s="197" t="str">
        <v>Hi comp</v>
      </c>
      <c r="AN16" s="40" t="str">
        <v>Y</v>
      </c>
      <c r="AO16" s="40" t="str">
        <v>Hi comp</v>
      </c>
      <c r="AP16" s="40" t="str">
        <v>Y</v>
      </c>
      <c r="AQ16" s="40" t="str">
        <v>Hi comp</v>
      </c>
      <c r="AR16" s="40" t="str">
        <v>Y</v>
      </c>
      <c r="AS16" s="40"/>
      <c r="AT16" s="40"/>
      <c r="AU16" s="40"/>
      <c r="AV16" s="40"/>
      <c r="AW16" s="40"/>
      <c r="AX16" s="40"/>
      <c r="AY16" s="40"/>
      <c r="AZ16" s="40"/>
      <c r="BA16" s="40"/>
      <c r="BB16" s="40"/>
      <c r="BC16" s="40"/>
      <c r="BD16" s="40"/>
      <c r="BE16" s="40"/>
      <c r="BF16" s="40"/>
      <c r="BG16" s="40"/>
      <c r="BH16" s="40"/>
      <c r="BI16" s="40"/>
      <c r="BJ16" s="41"/>
    </row>
    <row r="17" spans="2:62" x14ac:dyDescent="0.35">
      <c r="B17" s="89" t="str">
        <v>FD-10</v>
      </c>
      <c r="C17" s="88" t="str">
        <v>FD-10</v>
      </c>
      <c r="D17" s="88" t="str">
        <v>IN-11</v>
      </c>
      <c r="E17" s="88"/>
      <c r="F17" s="88"/>
      <c r="G17" s="88"/>
      <c r="H17" s="88"/>
      <c r="I17" s="87"/>
      <c r="M17" s="194" t="s">
        <v>12</v>
      </c>
      <c r="N17" s="223" t="str">
        <v>Min comp</v>
      </c>
      <c r="O17" s="224" t="str">
        <v>Y</v>
      </c>
      <c r="P17" s="225" t="str">
        <v>Y</v>
      </c>
      <c r="Q17" s="223" t="str">
        <v>Comp</v>
      </c>
      <c r="R17" s="224" t="str">
        <v>Y</v>
      </c>
      <c r="S17" s="225" t="str">
        <v>Y</v>
      </c>
      <c r="T17" s="223" t="str">
        <v>Comp</v>
      </c>
      <c r="U17" s="224" t="str">
        <v>Y</v>
      </c>
      <c r="V17" s="225" t="str">
        <v>Y</v>
      </c>
      <c r="W17" s="223" t="str">
        <v/>
      </c>
      <c r="X17" s="224" t="str">
        <v>Y</v>
      </c>
      <c r="Y17" s="225" t="str">
        <v/>
      </c>
      <c r="Z17" s="223" t="str">
        <v/>
      </c>
      <c r="AA17" s="224" t="str">
        <v>Y</v>
      </c>
      <c r="AB17" s="225" t="str">
        <v/>
      </c>
      <c r="AC17" s="223" t="str">
        <v/>
      </c>
      <c r="AD17" s="224" t="str">
        <v>Y</v>
      </c>
      <c r="AE17" s="225" t="str">
        <v/>
      </c>
      <c r="AF17" s="223" t="str">
        <v/>
      </c>
      <c r="AG17" s="224" t="str">
        <v>Y</v>
      </c>
      <c r="AH17" s="225" t="str">
        <v/>
      </c>
      <c r="AI17" s="223" t="str">
        <v/>
      </c>
      <c r="AJ17" s="224" t="str">
        <v>Y</v>
      </c>
      <c r="AK17" s="225" t="str">
        <v/>
      </c>
      <c r="AM17" s="197" t="str">
        <v>Min comp</v>
      </c>
      <c r="AN17" s="40" t="str">
        <v>Y</v>
      </c>
      <c r="AO17" s="40" t="str">
        <v>Comp</v>
      </c>
      <c r="AP17" s="40" t="str">
        <v>Y</v>
      </c>
      <c r="AQ17" s="40" t="str">
        <v>Comp</v>
      </c>
      <c r="AR17" s="40" t="str">
        <v>Y</v>
      </c>
      <c r="AS17" s="40"/>
      <c r="AT17" s="40"/>
      <c r="AU17" s="40"/>
      <c r="AV17" s="40"/>
      <c r="AW17" s="40"/>
      <c r="AX17" s="40"/>
      <c r="AY17" s="40"/>
      <c r="AZ17" s="40"/>
      <c r="BA17" s="40"/>
      <c r="BB17" s="40"/>
      <c r="BC17" s="40"/>
      <c r="BD17" s="40"/>
      <c r="BE17" s="40"/>
      <c r="BF17" s="40"/>
      <c r="BG17" s="40"/>
      <c r="BH17" s="40"/>
      <c r="BI17" s="40"/>
      <c r="BJ17" s="41"/>
    </row>
    <row r="18" spans="2:62" x14ac:dyDescent="0.35">
      <c r="B18" s="89" t="str">
        <v>IN-5</v>
      </c>
      <c r="C18" s="88" t="str">
        <v>IN-5</v>
      </c>
      <c r="D18" s="88" t="str">
        <v>IN-12</v>
      </c>
      <c r="E18" s="88"/>
      <c r="F18" s="88"/>
      <c r="G18" s="88"/>
      <c r="H18" s="88"/>
      <c r="I18" s="87"/>
      <c r="M18" s="194" t="s">
        <v>15</v>
      </c>
      <c r="N18" s="223" t="str">
        <v>Comp</v>
      </c>
      <c r="O18" s="224" t="str">
        <v>Y</v>
      </c>
      <c r="P18" s="225" t="str">
        <v>Y</v>
      </c>
      <c r="Q18" s="223" t="str">
        <v>Comp</v>
      </c>
      <c r="R18" s="224" t="str">
        <v>Y</v>
      </c>
      <c r="S18" s="225" t="str">
        <v>Y</v>
      </c>
      <c r="T18" s="223" t="str">
        <v>Comp</v>
      </c>
      <c r="U18" s="224" t="str">
        <v>Y</v>
      </c>
      <c r="V18" s="225" t="str">
        <v>Y</v>
      </c>
      <c r="W18" s="223" t="str">
        <v/>
      </c>
      <c r="X18" s="224" t="str">
        <v>Y</v>
      </c>
      <c r="Y18" s="225" t="str">
        <v/>
      </c>
      <c r="Z18" s="223" t="str">
        <v/>
      </c>
      <c r="AA18" s="224" t="str">
        <v>Y</v>
      </c>
      <c r="AB18" s="225" t="str">
        <v/>
      </c>
      <c r="AC18" s="223" t="str">
        <v/>
      </c>
      <c r="AD18" s="224" t="str">
        <v>Y</v>
      </c>
      <c r="AE18" s="225" t="str">
        <v/>
      </c>
      <c r="AF18" s="223" t="str">
        <v/>
      </c>
      <c r="AG18" s="224" t="str">
        <v>Y</v>
      </c>
      <c r="AH18" s="225" t="str">
        <v/>
      </c>
      <c r="AI18" s="223" t="str">
        <v/>
      </c>
      <c r="AJ18" s="224" t="str">
        <v>Y</v>
      </c>
      <c r="AK18" s="225" t="str">
        <v/>
      </c>
      <c r="AM18" s="197" t="str">
        <v>Comp</v>
      </c>
      <c r="AN18" s="40" t="str">
        <v>Y</v>
      </c>
      <c r="AO18" s="40" t="str">
        <v>Comp</v>
      </c>
      <c r="AP18" s="40" t="str">
        <v>Y</v>
      </c>
      <c r="AQ18" s="40" t="str">
        <v>Comp</v>
      </c>
      <c r="AR18" s="40" t="str">
        <v>Y</v>
      </c>
      <c r="AS18" s="40"/>
      <c r="AT18" s="40"/>
      <c r="AU18" s="40"/>
      <c r="AV18" s="40"/>
      <c r="AW18" s="40"/>
      <c r="AX18" s="40"/>
      <c r="AY18" s="40"/>
      <c r="AZ18" s="40"/>
      <c r="BA18" s="40"/>
      <c r="BB18" s="40"/>
      <c r="BC18" s="40"/>
      <c r="BD18" s="40"/>
      <c r="BE18" s="40"/>
      <c r="BF18" s="40"/>
      <c r="BG18" s="40"/>
      <c r="BH18" s="40"/>
      <c r="BI18" s="40"/>
      <c r="BJ18" s="41"/>
    </row>
    <row r="19" spans="2:62" x14ac:dyDescent="0.35">
      <c r="B19" s="89" t="str">
        <v>IN-7</v>
      </c>
      <c r="C19" s="88" t="str">
        <v>IN-7</v>
      </c>
      <c r="D19" s="88" t="str">
        <v>DC-5</v>
      </c>
      <c r="E19" s="88"/>
      <c r="F19" s="88"/>
      <c r="G19" s="88"/>
      <c r="H19" s="88"/>
      <c r="I19" s="87"/>
      <c r="M19" s="194" t="s">
        <v>17</v>
      </c>
      <c r="N19" s="223" t="str">
        <v>Min comp</v>
      </c>
      <c r="O19" s="224" t="str">
        <v>Y</v>
      </c>
      <c r="P19" s="225" t="str">
        <v>Y</v>
      </c>
      <c r="Q19" s="223" t="str">
        <v>Comp</v>
      </c>
      <c r="R19" s="224" t="str">
        <v>Y</v>
      </c>
      <c r="S19" s="225" t="str">
        <v>Y</v>
      </c>
      <c r="T19" s="223" t="str">
        <v>Comp</v>
      </c>
      <c r="U19" s="224" t="str">
        <v>Y</v>
      </c>
      <c r="V19" s="225" t="str">
        <v>Y</v>
      </c>
      <c r="W19" s="223" t="str">
        <v/>
      </c>
      <c r="X19" s="224" t="str">
        <v>Y</v>
      </c>
      <c r="Y19" s="225" t="str">
        <v/>
      </c>
      <c r="Z19" s="223" t="str">
        <v/>
      </c>
      <c r="AA19" s="224" t="str">
        <v>Y</v>
      </c>
      <c r="AB19" s="225" t="str">
        <v/>
      </c>
      <c r="AC19" s="223" t="str">
        <v/>
      </c>
      <c r="AD19" s="224" t="str">
        <v>Y</v>
      </c>
      <c r="AE19" s="225" t="str">
        <v/>
      </c>
      <c r="AF19" s="223" t="str">
        <v/>
      </c>
      <c r="AG19" s="224" t="str">
        <v>Y</v>
      </c>
      <c r="AH19" s="225" t="str">
        <v/>
      </c>
      <c r="AI19" s="223" t="str">
        <v/>
      </c>
      <c r="AJ19" s="224" t="str">
        <v>Y</v>
      </c>
      <c r="AK19" s="225" t="str">
        <v/>
      </c>
      <c r="AM19" s="197" t="str">
        <v>Min comp</v>
      </c>
      <c r="AN19" s="40" t="str">
        <v>Y</v>
      </c>
      <c r="AO19" s="40" t="str">
        <v>Comp</v>
      </c>
      <c r="AP19" s="40" t="str">
        <v>Y</v>
      </c>
      <c r="AQ19" s="40" t="str">
        <v>Comp</v>
      </c>
      <c r="AR19" s="40" t="str">
        <v>Y</v>
      </c>
      <c r="AS19" s="40"/>
      <c r="AT19" s="40"/>
      <c r="AU19" s="40"/>
      <c r="AV19" s="40"/>
      <c r="AW19" s="40"/>
      <c r="AX19" s="40"/>
      <c r="AY19" s="40"/>
      <c r="AZ19" s="40"/>
      <c r="BA19" s="40"/>
      <c r="BB19" s="40"/>
      <c r="BC19" s="40"/>
      <c r="BD19" s="40"/>
      <c r="BE19" s="40"/>
      <c r="BF19" s="40"/>
      <c r="BG19" s="40"/>
      <c r="BH19" s="40"/>
      <c r="BI19" s="40"/>
      <c r="BJ19" s="41"/>
    </row>
    <row r="20" spans="2:62" x14ac:dyDescent="0.35">
      <c r="B20" s="89" t="str">
        <v>IN-10</v>
      </c>
      <c r="C20" s="88" t="str">
        <v>IN-11</v>
      </c>
      <c r="D20" s="88" t="str">
        <v>DC-6</v>
      </c>
      <c r="E20" s="88"/>
      <c r="F20" s="88"/>
      <c r="G20" s="88"/>
      <c r="H20" s="88"/>
      <c r="I20" s="87"/>
      <c r="M20" s="194" t="s">
        <v>19</v>
      </c>
      <c r="N20" s="223" t="str">
        <v>Comp</v>
      </c>
      <c r="O20" s="224" t="str">
        <v>N</v>
      </c>
      <c r="P20" s="225" t="str">
        <v>N</v>
      </c>
      <c r="Q20" s="223" t="str">
        <v>Comp</v>
      </c>
      <c r="R20" s="224" t="str">
        <v>N</v>
      </c>
      <c r="S20" s="225" t="str">
        <v>N</v>
      </c>
      <c r="T20" s="223" t="str">
        <v>Comp</v>
      </c>
      <c r="U20" s="224" t="str">
        <v>N</v>
      </c>
      <c r="V20" s="225" t="str">
        <v>N</v>
      </c>
      <c r="W20" s="223" t="str">
        <v/>
      </c>
      <c r="X20" s="224" t="str">
        <v>N</v>
      </c>
      <c r="Y20" s="225" t="str">
        <v/>
      </c>
      <c r="Z20" s="223" t="str">
        <v/>
      </c>
      <c r="AA20" s="224" t="str">
        <v>N</v>
      </c>
      <c r="AB20" s="225" t="str">
        <v/>
      </c>
      <c r="AC20" s="223" t="str">
        <v/>
      </c>
      <c r="AD20" s="224" t="str">
        <v>N</v>
      </c>
      <c r="AE20" s="225" t="str">
        <v/>
      </c>
      <c r="AF20" s="223" t="str">
        <v/>
      </c>
      <c r="AG20" s="224" t="str">
        <v>N</v>
      </c>
      <c r="AH20" s="225" t="str">
        <v/>
      </c>
      <c r="AI20" s="223" t="str">
        <v/>
      </c>
      <c r="AJ20" s="224" t="str">
        <v>N</v>
      </c>
      <c r="AK20" s="225" t="str">
        <v/>
      </c>
      <c r="AM20" s="197" t="str">
        <v>Comp</v>
      </c>
      <c r="AN20" s="40" t="str">
        <v>N</v>
      </c>
      <c r="AO20" s="40" t="str">
        <v>Comp</v>
      </c>
      <c r="AP20" s="40" t="str">
        <v>N</v>
      </c>
      <c r="AQ20" s="40" t="str">
        <v>Comp</v>
      </c>
      <c r="AR20" s="40" t="str">
        <v>N</v>
      </c>
      <c r="AS20" s="40"/>
      <c r="AT20" s="40"/>
      <c r="AU20" s="40"/>
      <c r="AV20" s="40"/>
      <c r="AW20" s="40"/>
      <c r="AX20" s="40"/>
      <c r="AY20" s="40"/>
      <c r="AZ20" s="40"/>
      <c r="BA20" s="40"/>
      <c r="BB20" s="40"/>
      <c r="BC20" s="40"/>
      <c r="BD20" s="40"/>
      <c r="BE20" s="40"/>
      <c r="BF20" s="40"/>
      <c r="BG20" s="40"/>
      <c r="BH20" s="40"/>
      <c r="BI20" s="40"/>
      <c r="BJ20" s="41"/>
    </row>
    <row r="21" spans="2:62" x14ac:dyDescent="0.35">
      <c r="B21" s="89" t="str">
        <v>IN-11</v>
      </c>
      <c r="C21" s="88" t="str">
        <v>IN-12</v>
      </c>
      <c r="D21" s="88" t="str">
        <v>DC-7</v>
      </c>
      <c r="E21" s="88"/>
      <c r="F21" s="88"/>
      <c r="G21" s="88"/>
      <c r="H21" s="88"/>
      <c r="I21" s="87"/>
      <c r="M21" s="194" t="s">
        <v>21</v>
      </c>
      <c r="N21" s="223" t="str">
        <v>Comp</v>
      </c>
      <c r="O21" s="224" t="str">
        <v>Y</v>
      </c>
      <c r="P21" s="225" t="str">
        <v>N</v>
      </c>
      <c r="Q21" s="223" t="str">
        <v>Comp</v>
      </c>
      <c r="R21" s="224" t="str">
        <v>Y</v>
      </c>
      <c r="S21" s="225" t="str">
        <v>N</v>
      </c>
      <c r="T21" s="223" t="str">
        <v>Comp</v>
      </c>
      <c r="U21" s="224" t="str">
        <v>Y</v>
      </c>
      <c r="V21" s="225" t="str">
        <v>Y</v>
      </c>
      <c r="W21" s="223" t="str">
        <v/>
      </c>
      <c r="X21" s="224" t="str">
        <v>Y</v>
      </c>
      <c r="Y21" s="225" t="str">
        <v/>
      </c>
      <c r="Z21" s="223" t="str">
        <v/>
      </c>
      <c r="AA21" s="224" t="str">
        <v>Y</v>
      </c>
      <c r="AB21" s="225" t="str">
        <v/>
      </c>
      <c r="AC21" s="223" t="str">
        <v/>
      </c>
      <c r="AD21" s="224" t="str">
        <v>Y</v>
      </c>
      <c r="AE21" s="225" t="str">
        <v/>
      </c>
      <c r="AF21" s="223" t="str">
        <v/>
      </c>
      <c r="AG21" s="224" t="str">
        <v>Y</v>
      </c>
      <c r="AH21" s="225" t="str">
        <v/>
      </c>
      <c r="AI21" s="223" t="str">
        <v/>
      </c>
      <c r="AJ21" s="224" t="str">
        <v>Y</v>
      </c>
      <c r="AK21" s="225" t="str">
        <v/>
      </c>
      <c r="AM21" s="197" t="str">
        <v>Comp</v>
      </c>
      <c r="AN21" s="40" t="str">
        <v>Y</v>
      </c>
      <c r="AO21" s="40" t="str">
        <v>Comp</v>
      </c>
      <c r="AP21" s="40" t="str">
        <v>Y</v>
      </c>
      <c r="AQ21" s="40" t="str">
        <v>Comp</v>
      </c>
      <c r="AR21" s="40" t="str">
        <v>Y</v>
      </c>
      <c r="AS21" s="40"/>
      <c r="AT21" s="40"/>
      <c r="AU21" s="40"/>
      <c r="AV21" s="40"/>
      <c r="AW21" s="40"/>
      <c r="AX21" s="40"/>
      <c r="AY21" s="40"/>
      <c r="AZ21" s="40"/>
      <c r="BA21" s="40"/>
      <c r="BB21" s="40"/>
      <c r="BC21" s="40"/>
      <c r="BD21" s="40"/>
      <c r="BE21" s="40"/>
      <c r="BF21" s="40"/>
      <c r="BG21" s="40"/>
      <c r="BH21" s="40"/>
      <c r="BI21" s="40"/>
      <c r="BJ21" s="41"/>
    </row>
    <row r="22" spans="2:62" x14ac:dyDescent="0.35">
      <c r="B22" s="89" t="str">
        <v>IN-12</v>
      </c>
      <c r="C22" s="88" t="str">
        <v>DC-4</v>
      </c>
      <c r="D22" s="88" t="str">
        <v>DC-10</v>
      </c>
      <c r="E22" s="88"/>
      <c r="F22" s="88"/>
      <c r="G22" s="88"/>
      <c r="H22" s="88"/>
      <c r="I22" s="87"/>
      <c r="M22" s="195" t="s">
        <v>23</v>
      </c>
      <c r="N22" s="226" t="str">
        <v>Min comp</v>
      </c>
      <c r="O22" s="227" t="str">
        <v>Y</v>
      </c>
      <c r="P22" s="228" t="str">
        <v>Y</v>
      </c>
      <c r="Q22" s="226" t="str">
        <v>Comp</v>
      </c>
      <c r="R22" s="227" t="str">
        <v>Y</v>
      </c>
      <c r="S22" s="228" t="str">
        <v>Y</v>
      </c>
      <c r="T22" s="226" t="str">
        <v>Hi comp</v>
      </c>
      <c r="U22" s="227" t="str">
        <v>Y</v>
      </c>
      <c r="V22" s="228" t="str">
        <v/>
      </c>
      <c r="W22" s="226" t="str">
        <v/>
      </c>
      <c r="X22" s="227" t="str">
        <v>Y</v>
      </c>
      <c r="Y22" s="228" t="str">
        <v/>
      </c>
      <c r="Z22" s="226" t="str">
        <v/>
      </c>
      <c r="AA22" s="227" t="str">
        <v>Y</v>
      </c>
      <c r="AB22" s="228" t="str">
        <v/>
      </c>
      <c r="AC22" s="226" t="str">
        <v/>
      </c>
      <c r="AD22" s="227" t="str">
        <v>Y</v>
      </c>
      <c r="AE22" s="228" t="str">
        <v/>
      </c>
      <c r="AF22" s="226" t="str">
        <v/>
      </c>
      <c r="AG22" s="227" t="str">
        <v>Y</v>
      </c>
      <c r="AH22" s="228" t="str">
        <v/>
      </c>
      <c r="AI22" s="226" t="str">
        <v/>
      </c>
      <c r="AJ22" s="227" t="str">
        <v>Y</v>
      </c>
      <c r="AK22" s="228" t="str">
        <v/>
      </c>
      <c r="AM22" s="197" t="str">
        <v>Min comp</v>
      </c>
      <c r="AN22" s="40" t="str">
        <v>Y</v>
      </c>
      <c r="AO22" s="40" t="str">
        <v>Comp</v>
      </c>
      <c r="AP22" s="40" t="str">
        <v>Y</v>
      </c>
      <c r="AQ22" s="40" t="str">
        <v>Hi comp</v>
      </c>
      <c r="AR22" s="40" t="str">
        <v>Y</v>
      </c>
      <c r="AS22" s="40"/>
      <c r="AT22" s="40"/>
      <c r="AU22" s="40"/>
      <c r="AV22" s="40"/>
      <c r="AW22" s="40"/>
      <c r="AX22" s="40"/>
      <c r="AY22" s="40"/>
      <c r="AZ22" s="40"/>
      <c r="BA22" s="40"/>
      <c r="BB22" s="40"/>
      <c r="BC22" s="40"/>
      <c r="BD22" s="40"/>
      <c r="BE22" s="40"/>
      <c r="BF22" s="40"/>
      <c r="BG22" s="40"/>
      <c r="BH22" s="40"/>
      <c r="BI22" s="40"/>
      <c r="BJ22" s="41"/>
    </row>
    <row r="23" spans="2:62" x14ac:dyDescent="0.35">
      <c r="B23" s="89" t="str">
        <v>DC-3</v>
      </c>
      <c r="C23" s="88" t="str">
        <v>DC-5</v>
      </c>
      <c r="D23" s="88" t="str">
        <v>DC-12</v>
      </c>
      <c r="E23" s="88"/>
      <c r="F23" s="88"/>
      <c r="G23" s="88"/>
      <c r="H23" s="88"/>
      <c r="I23" s="87"/>
      <c r="M23" s="201" t="s">
        <v>25</v>
      </c>
      <c r="N23" s="220" t="str">
        <v>Hi comp</v>
      </c>
      <c r="O23" s="221" t="str">
        <v>Y</v>
      </c>
      <c r="P23" s="222" t="str">
        <v>N</v>
      </c>
      <c r="Q23" s="220" t="str">
        <v>Hi comp</v>
      </c>
      <c r="R23" s="221" t="str">
        <v>Y</v>
      </c>
      <c r="S23" s="222" t="str">
        <v>N</v>
      </c>
      <c r="T23" s="220" t="str">
        <v>Hi comp</v>
      </c>
      <c r="U23" s="221" t="str">
        <v>Y</v>
      </c>
      <c r="V23" s="222" t="str">
        <v/>
      </c>
      <c r="W23" s="220" t="str">
        <v/>
      </c>
      <c r="X23" s="221" t="str">
        <v>Y</v>
      </c>
      <c r="Y23" s="222" t="str">
        <v/>
      </c>
      <c r="Z23" s="220" t="str">
        <v/>
      </c>
      <c r="AA23" s="221" t="str">
        <v>Y</v>
      </c>
      <c r="AB23" s="222" t="str">
        <v/>
      </c>
      <c r="AC23" s="220" t="str">
        <v/>
      </c>
      <c r="AD23" s="221" t="str">
        <v>Y</v>
      </c>
      <c r="AE23" s="222" t="str">
        <v/>
      </c>
      <c r="AF23" s="220" t="str">
        <v/>
      </c>
      <c r="AG23" s="221" t="str">
        <v>Y</v>
      </c>
      <c r="AH23" s="222" t="str">
        <v/>
      </c>
      <c r="AI23" s="220" t="str">
        <v/>
      </c>
      <c r="AJ23" s="221" t="str">
        <v>Y</v>
      </c>
      <c r="AK23" s="222" t="str">
        <v/>
      </c>
      <c r="AM23" s="197" t="str">
        <v>Hi comp</v>
      </c>
      <c r="AN23" s="40" t="str">
        <v>Y</v>
      </c>
      <c r="AO23" s="40" t="str">
        <v>Hi comp</v>
      </c>
      <c r="AP23" s="40" t="str">
        <v>Y</v>
      </c>
      <c r="AQ23" s="40" t="str">
        <v>Hi comp</v>
      </c>
      <c r="AR23" s="40" t="str">
        <v>Y</v>
      </c>
      <c r="AS23" s="40"/>
      <c r="AT23" s="40"/>
      <c r="AU23" s="40"/>
      <c r="AV23" s="40"/>
      <c r="AW23" s="40"/>
      <c r="AX23" s="40"/>
      <c r="AY23" s="40"/>
      <c r="AZ23" s="40"/>
      <c r="BA23" s="40"/>
      <c r="BB23" s="40"/>
      <c r="BC23" s="40"/>
      <c r="BD23" s="40"/>
      <c r="BE23" s="40"/>
      <c r="BF23" s="40"/>
      <c r="BG23" s="40"/>
      <c r="BH23" s="40"/>
      <c r="BI23" s="40"/>
      <c r="BJ23" s="41"/>
    </row>
    <row r="24" spans="2:62" x14ac:dyDescent="0.35">
      <c r="B24" s="89" t="str">
        <v>DC-4</v>
      </c>
      <c r="C24" s="88" t="str">
        <v>DC-6</v>
      </c>
      <c r="D24" s="88"/>
      <c r="E24" s="88"/>
      <c r="F24" s="88"/>
      <c r="G24" s="88"/>
      <c r="H24" s="88"/>
      <c r="I24" s="87"/>
      <c r="M24" s="202" t="s">
        <v>27</v>
      </c>
      <c r="N24" s="223" t="str">
        <v>Hi comp</v>
      </c>
      <c r="O24" s="224" t="str">
        <v>Y</v>
      </c>
      <c r="P24" s="225" t="str">
        <v>N</v>
      </c>
      <c r="Q24" s="223" t="str">
        <v>Hi comp</v>
      </c>
      <c r="R24" s="224" t="str">
        <v>Y</v>
      </c>
      <c r="S24" s="225" t="str">
        <v>N</v>
      </c>
      <c r="T24" s="223" t="str">
        <v>Hi comp</v>
      </c>
      <c r="U24" s="224" t="str">
        <v>Y</v>
      </c>
      <c r="V24" s="225" t="str">
        <v/>
      </c>
      <c r="W24" s="223" t="str">
        <v/>
      </c>
      <c r="X24" s="224" t="str">
        <v>Y</v>
      </c>
      <c r="Y24" s="225" t="str">
        <v/>
      </c>
      <c r="Z24" s="223" t="str">
        <v/>
      </c>
      <c r="AA24" s="224" t="str">
        <v>Y</v>
      </c>
      <c r="AB24" s="225" t="str">
        <v/>
      </c>
      <c r="AC24" s="223" t="str">
        <v/>
      </c>
      <c r="AD24" s="224" t="str">
        <v>Y</v>
      </c>
      <c r="AE24" s="225" t="str">
        <v/>
      </c>
      <c r="AF24" s="223" t="str">
        <v/>
      </c>
      <c r="AG24" s="224" t="str">
        <v>Y</v>
      </c>
      <c r="AH24" s="225" t="str">
        <v/>
      </c>
      <c r="AI24" s="223" t="str">
        <v/>
      </c>
      <c r="AJ24" s="224" t="str">
        <v>Y</v>
      </c>
      <c r="AK24" s="225" t="str">
        <v/>
      </c>
      <c r="AM24" s="197" t="str">
        <v>Hi comp</v>
      </c>
      <c r="AN24" s="40" t="str">
        <v>Y</v>
      </c>
      <c r="AO24" s="40" t="str">
        <v>Hi comp</v>
      </c>
      <c r="AP24" s="40" t="str">
        <v>Y</v>
      </c>
      <c r="AQ24" s="40" t="str">
        <v>Hi comp</v>
      </c>
      <c r="AR24" s="40" t="str">
        <v>Y</v>
      </c>
      <c r="AS24" s="40"/>
      <c r="AT24" s="40"/>
      <c r="AU24" s="40"/>
      <c r="AV24" s="40"/>
      <c r="AW24" s="40"/>
      <c r="AX24" s="40"/>
      <c r="AY24" s="40"/>
      <c r="AZ24" s="40"/>
      <c r="BA24" s="40"/>
      <c r="BB24" s="40"/>
      <c r="BC24" s="40"/>
      <c r="BD24" s="40"/>
      <c r="BE24" s="40"/>
      <c r="BF24" s="40"/>
      <c r="BG24" s="40"/>
      <c r="BH24" s="40"/>
      <c r="BI24" s="40"/>
      <c r="BJ24" s="41"/>
    </row>
    <row r="25" spans="2:62" x14ac:dyDescent="0.35">
      <c r="B25" s="89" t="str">
        <v>DC-5</v>
      </c>
      <c r="C25" s="88" t="str">
        <v>DC-7</v>
      </c>
      <c r="D25" s="88"/>
      <c r="E25" s="88"/>
      <c r="F25" s="88"/>
      <c r="G25" s="88"/>
      <c r="H25" s="88"/>
      <c r="I25" s="87"/>
      <c r="M25" s="202" t="s">
        <v>29</v>
      </c>
      <c r="N25" s="223" t="str">
        <v>Hi comp</v>
      </c>
      <c r="O25" s="224" t="str">
        <v>Y</v>
      </c>
      <c r="P25" s="225" t="str">
        <v/>
      </c>
      <c r="Q25" s="223" t="str">
        <v>Hi comp</v>
      </c>
      <c r="R25" s="224" t="str">
        <v>Y</v>
      </c>
      <c r="S25" s="225" t="str">
        <v/>
      </c>
      <c r="T25" s="223" t="str">
        <v>Hi comp</v>
      </c>
      <c r="U25" s="224" t="str">
        <v>Y</v>
      </c>
      <c r="V25" s="225" t="str">
        <v/>
      </c>
      <c r="W25" s="223" t="str">
        <v/>
      </c>
      <c r="X25" s="224" t="str">
        <v>Y</v>
      </c>
      <c r="Y25" s="225" t="str">
        <v/>
      </c>
      <c r="Z25" s="223" t="str">
        <v/>
      </c>
      <c r="AA25" s="224" t="str">
        <v>Y</v>
      </c>
      <c r="AB25" s="225" t="str">
        <v/>
      </c>
      <c r="AC25" s="223" t="str">
        <v/>
      </c>
      <c r="AD25" s="224" t="str">
        <v>Y</v>
      </c>
      <c r="AE25" s="225" t="str">
        <v/>
      </c>
      <c r="AF25" s="223" t="str">
        <v/>
      </c>
      <c r="AG25" s="224" t="str">
        <v>Y</v>
      </c>
      <c r="AH25" s="225" t="str">
        <v/>
      </c>
      <c r="AI25" s="223" t="str">
        <v/>
      </c>
      <c r="AJ25" s="224" t="str">
        <v>Y</v>
      </c>
      <c r="AK25" s="225" t="str">
        <v/>
      </c>
      <c r="AM25" s="197" t="str">
        <v>Hi comp</v>
      </c>
      <c r="AN25" s="40" t="str">
        <v>Y</v>
      </c>
      <c r="AO25" s="40" t="str">
        <v>Hi comp</v>
      </c>
      <c r="AP25" s="40" t="str">
        <v>Y</v>
      </c>
      <c r="AQ25" s="40" t="str">
        <v>Hi comp</v>
      </c>
      <c r="AR25" s="40" t="str">
        <v>Y</v>
      </c>
      <c r="AS25" s="40"/>
      <c r="AT25" s="40"/>
      <c r="AU25" s="40"/>
      <c r="AV25" s="40"/>
      <c r="AW25" s="40"/>
      <c r="AX25" s="40"/>
      <c r="AY25" s="40"/>
      <c r="AZ25" s="40"/>
      <c r="BA25" s="40"/>
      <c r="BB25" s="40"/>
      <c r="BC25" s="40"/>
      <c r="BD25" s="40"/>
      <c r="BE25" s="40"/>
      <c r="BF25" s="40"/>
      <c r="BG25" s="40"/>
      <c r="BH25" s="40"/>
      <c r="BI25" s="40"/>
      <c r="BJ25" s="41"/>
    </row>
    <row r="26" spans="2:62" x14ac:dyDescent="0.35">
      <c r="B26" s="89" t="str">
        <v>DC-6</v>
      </c>
      <c r="C26" s="88" t="str">
        <v>DC-8</v>
      </c>
      <c r="D26" s="88"/>
      <c r="E26" s="88"/>
      <c r="F26" s="88"/>
      <c r="G26" s="88"/>
      <c r="H26" s="88"/>
      <c r="I26" s="87"/>
      <c r="M26" s="202" t="s">
        <v>31</v>
      </c>
      <c r="N26" s="223" t="str">
        <v>Min comp</v>
      </c>
      <c r="O26" s="224" t="str">
        <v>N</v>
      </c>
      <c r="P26" s="225" t="str">
        <v>N</v>
      </c>
      <c r="Q26" s="223" t="str">
        <v>Comp</v>
      </c>
      <c r="R26" s="224" t="str">
        <v>N</v>
      </c>
      <c r="S26" s="225" t="str">
        <v>N</v>
      </c>
      <c r="T26" s="223" t="str">
        <v>Comp</v>
      </c>
      <c r="U26" s="224" t="str">
        <v>N</v>
      </c>
      <c r="V26" s="225" t="str">
        <v>N</v>
      </c>
      <c r="W26" s="223" t="str">
        <v/>
      </c>
      <c r="X26" s="224" t="str">
        <v>N</v>
      </c>
      <c r="Y26" s="225" t="str">
        <v/>
      </c>
      <c r="Z26" s="223" t="str">
        <v/>
      </c>
      <c r="AA26" s="224" t="str">
        <v>N</v>
      </c>
      <c r="AB26" s="225" t="str">
        <v/>
      </c>
      <c r="AC26" s="223" t="str">
        <v/>
      </c>
      <c r="AD26" s="224" t="str">
        <v>N</v>
      </c>
      <c r="AE26" s="225" t="str">
        <v/>
      </c>
      <c r="AF26" s="223" t="str">
        <v/>
      </c>
      <c r="AG26" s="224" t="str">
        <v>N</v>
      </c>
      <c r="AH26" s="225" t="str">
        <v/>
      </c>
      <c r="AI26" s="223" t="str">
        <v/>
      </c>
      <c r="AJ26" s="224" t="str">
        <v>N</v>
      </c>
      <c r="AK26" s="225" t="str">
        <v/>
      </c>
      <c r="AM26" s="197" t="str">
        <v>Min comp</v>
      </c>
      <c r="AN26" s="40" t="str">
        <v>N</v>
      </c>
      <c r="AO26" s="40" t="str">
        <v>Comp</v>
      </c>
      <c r="AP26" s="40" t="str">
        <v>N</v>
      </c>
      <c r="AQ26" s="40" t="str">
        <v>Comp</v>
      </c>
      <c r="AR26" s="40" t="str">
        <v>N</v>
      </c>
      <c r="AS26" s="40"/>
      <c r="AT26" s="40"/>
      <c r="AU26" s="40"/>
      <c r="AV26" s="40"/>
      <c r="AW26" s="40"/>
      <c r="AX26" s="40"/>
      <c r="AY26" s="40"/>
      <c r="AZ26" s="40"/>
      <c r="BA26" s="40"/>
      <c r="BB26" s="40"/>
      <c r="BC26" s="40"/>
      <c r="BD26" s="40"/>
      <c r="BE26" s="40"/>
      <c r="BF26" s="40"/>
      <c r="BG26" s="40"/>
      <c r="BH26" s="40"/>
      <c r="BI26" s="40"/>
      <c r="BJ26" s="41"/>
    </row>
    <row r="27" spans="2:62" x14ac:dyDescent="0.35">
      <c r="B27" s="89" t="str">
        <v>DC-7</v>
      </c>
      <c r="C27" s="88" t="str">
        <v>DC-9</v>
      </c>
      <c r="D27" s="88"/>
      <c r="E27" s="88"/>
      <c r="F27" s="88"/>
      <c r="G27" s="88"/>
      <c r="H27" s="88"/>
      <c r="I27" s="87"/>
      <c r="M27" s="202" t="s">
        <v>33</v>
      </c>
      <c r="N27" s="223" t="str">
        <v>Min comp</v>
      </c>
      <c r="O27" s="224" t="str">
        <v>Y</v>
      </c>
      <c r="P27" s="225" t="str">
        <v>Y</v>
      </c>
      <c r="Q27" s="223" t="str">
        <v>Comp</v>
      </c>
      <c r="R27" s="224" t="str">
        <v>Y</v>
      </c>
      <c r="S27" s="225" t="str">
        <v>Y</v>
      </c>
      <c r="T27" s="223" t="str">
        <v>Hi comp</v>
      </c>
      <c r="U27" s="224" t="str">
        <v>Y</v>
      </c>
      <c r="V27" s="225" t="str">
        <v/>
      </c>
      <c r="W27" s="223" t="str">
        <v/>
      </c>
      <c r="X27" s="224" t="str">
        <v>Y</v>
      </c>
      <c r="Y27" s="225" t="str">
        <v/>
      </c>
      <c r="Z27" s="223" t="str">
        <v/>
      </c>
      <c r="AA27" s="224" t="str">
        <v>Y</v>
      </c>
      <c r="AB27" s="225" t="str">
        <v/>
      </c>
      <c r="AC27" s="223" t="str">
        <v/>
      </c>
      <c r="AD27" s="224" t="str">
        <v>Y</v>
      </c>
      <c r="AE27" s="225" t="str">
        <v/>
      </c>
      <c r="AF27" s="223" t="str">
        <v/>
      </c>
      <c r="AG27" s="224" t="str">
        <v>Y</v>
      </c>
      <c r="AH27" s="225" t="str">
        <v/>
      </c>
      <c r="AI27" s="223" t="str">
        <v/>
      </c>
      <c r="AJ27" s="224" t="str">
        <v>Y</v>
      </c>
      <c r="AK27" s="225" t="str">
        <v/>
      </c>
      <c r="AM27" s="197" t="str">
        <v>Min comp</v>
      </c>
      <c r="AN27" s="40" t="str">
        <v>Y</v>
      </c>
      <c r="AO27" s="40" t="str">
        <v>Comp</v>
      </c>
      <c r="AP27" s="40" t="str">
        <v>Y</v>
      </c>
      <c r="AQ27" s="40" t="str">
        <v>Hi comp</v>
      </c>
      <c r="AR27" s="40" t="str">
        <v>Y</v>
      </c>
      <c r="AS27" s="40"/>
      <c r="AT27" s="40"/>
      <c r="AU27" s="40"/>
      <c r="AV27" s="40"/>
      <c r="AW27" s="40"/>
      <c r="AX27" s="40"/>
      <c r="AY27" s="40"/>
      <c r="AZ27" s="40"/>
      <c r="BA27" s="40"/>
      <c r="BB27" s="40"/>
      <c r="BC27" s="40"/>
      <c r="BD27" s="40"/>
      <c r="BE27" s="40"/>
      <c r="BF27" s="40"/>
      <c r="BG27" s="40"/>
      <c r="BH27" s="40"/>
      <c r="BI27" s="40"/>
      <c r="BJ27" s="41"/>
    </row>
    <row r="28" spans="2:62" x14ac:dyDescent="0.35">
      <c r="B28" s="89" t="str">
        <v>DC-8</v>
      </c>
      <c r="C28" s="88" t="str">
        <v>DC-10</v>
      </c>
      <c r="D28" s="88"/>
      <c r="E28" s="88"/>
      <c r="F28" s="88"/>
      <c r="G28" s="88"/>
      <c r="H28" s="88"/>
      <c r="I28" s="87"/>
      <c r="M28" s="202" t="s">
        <v>35</v>
      </c>
      <c r="N28" s="223" t="str">
        <v>Hi comp</v>
      </c>
      <c r="O28" s="224" t="str">
        <v>Y</v>
      </c>
      <c r="P28" s="225" t="str">
        <v/>
      </c>
      <c r="Q28" s="223" t="str">
        <v>Hi comp</v>
      </c>
      <c r="R28" s="224" t="str">
        <v>Y</v>
      </c>
      <c r="S28" s="225" t="str">
        <v/>
      </c>
      <c r="T28" s="223" t="str">
        <v>Hi comp</v>
      </c>
      <c r="U28" s="224" t="str">
        <v>Y</v>
      </c>
      <c r="V28" s="225" t="str">
        <v/>
      </c>
      <c r="W28" s="223" t="str">
        <v/>
      </c>
      <c r="X28" s="224" t="str">
        <v>Y</v>
      </c>
      <c r="Y28" s="225" t="str">
        <v/>
      </c>
      <c r="Z28" s="223" t="str">
        <v/>
      </c>
      <c r="AA28" s="224" t="str">
        <v>Y</v>
      </c>
      <c r="AB28" s="225" t="str">
        <v/>
      </c>
      <c r="AC28" s="223" t="str">
        <v/>
      </c>
      <c r="AD28" s="224" t="str">
        <v>Y</v>
      </c>
      <c r="AE28" s="225" t="str">
        <v/>
      </c>
      <c r="AF28" s="223" t="str">
        <v/>
      </c>
      <c r="AG28" s="224" t="str">
        <v>Y</v>
      </c>
      <c r="AH28" s="225" t="str">
        <v/>
      </c>
      <c r="AI28" s="223" t="str">
        <v/>
      </c>
      <c r="AJ28" s="224" t="str">
        <v>Y</v>
      </c>
      <c r="AK28" s="225" t="str">
        <v/>
      </c>
      <c r="AM28" s="197" t="str">
        <v>Hi comp</v>
      </c>
      <c r="AN28" s="40" t="str">
        <v>Y</v>
      </c>
      <c r="AO28" s="40" t="str">
        <v>Hi comp</v>
      </c>
      <c r="AP28" s="40" t="str">
        <v>Y</v>
      </c>
      <c r="AQ28" s="40" t="str">
        <v>Hi comp</v>
      </c>
      <c r="AR28" s="40" t="str">
        <v>Y</v>
      </c>
      <c r="AS28" s="40"/>
      <c r="AT28" s="40"/>
      <c r="AU28" s="40"/>
      <c r="AV28" s="40"/>
      <c r="AW28" s="40"/>
      <c r="AX28" s="40"/>
      <c r="AY28" s="40"/>
      <c r="AZ28" s="40"/>
      <c r="BA28" s="40"/>
      <c r="BB28" s="40"/>
      <c r="BC28" s="40"/>
      <c r="BD28" s="40"/>
      <c r="BE28" s="40"/>
      <c r="BF28" s="40"/>
      <c r="BG28" s="40"/>
      <c r="BH28" s="40"/>
      <c r="BI28" s="40"/>
      <c r="BJ28" s="41"/>
    </row>
    <row r="29" spans="2:62" x14ac:dyDescent="0.35">
      <c r="B29" s="89" t="str">
        <v>DC-9</v>
      </c>
      <c r="C29" s="88" t="str">
        <v>DC-12</v>
      </c>
      <c r="D29" s="88"/>
      <c r="E29" s="88"/>
      <c r="F29" s="88"/>
      <c r="G29" s="88"/>
      <c r="H29" s="88"/>
      <c r="I29" s="87"/>
      <c r="M29" s="202" t="s">
        <v>37</v>
      </c>
      <c r="N29" s="223" t="str">
        <v>Comp</v>
      </c>
      <c r="O29" s="224" t="str">
        <v>Y</v>
      </c>
      <c r="P29" s="225" t="str">
        <v>Y</v>
      </c>
      <c r="Q29" s="223" t="str">
        <v>Comp</v>
      </c>
      <c r="R29" s="224" t="str">
        <v>Y</v>
      </c>
      <c r="S29" s="225" t="str">
        <v>Y</v>
      </c>
      <c r="T29" s="223" t="str">
        <v>Hi comp</v>
      </c>
      <c r="U29" s="224" t="str">
        <v>Y</v>
      </c>
      <c r="V29" s="225" t="str">
        <v/>
      </c>
      <c r="W29" s="223" t="str">
        <v/>
      </c>
      <c r="X29" s="224" t="str">
        <v>Y</v>
      </c>
      <c r="Y29" s="225" t="str">
        <v/>
      </c>
      <c r="Z29" s="223" t="str">
        <v/>
      </c>
      <c r="AA29" s="224" t="str">
        <v>Y</v>
      </c>
      <c r="AB29" s="225" t="str">
        <v/>
      </c>
      <c r="AC29" s="223" t="str">
        <v/>
      </c>
      <c r="AD29" s="224" t="str">
        <v>Y</v>
      </c>
      <c r="AE29" s="225" t="str">
        <v/>
      </c>
      <c r="AF29" s="223" t="str">
        <v/>
      </c>
      <c r="AG29" s="224" t="str">
        <v>Y</v>
      </c>
      <c r="AH29" s="225" t="str">
        <v/>
      </c>
      <c r="AI29" s="223" t="str">
        <v/>
      </c>
      <c r="AJ29" s="224" t="str">
        <v>Y</v>
      </c>
      <c r="AK29" s="225" t="str">
        <v/>
      </c>
      <c r="AM29" s="197" t="str">
        <v>Comp</v>
      </c>
      <c r="AN29" s="40" t="str">
        <v>Y</v>
      </c>
      <c r="AO29" s="40" t="str">
        <v>Comp</v>
      </c>
      <c r="AP29" s="40" t="str">
        <v>Y</v>
      </c>
      <c r="AQ29" s="40" t="str">
        <v>Hi comp</v>
      </c>
      <c r="AR29" s="40" t="str">
        <v>Y</v>
      </c>
      <c r="AS29" s="40"/>
      <c r="AT29" s="40"/>
      <c r="AU29" s="40"/>
      <c r="AV29" s="40"/>
      <c r="AW29" s="40"/>
      <c r="AX29" s="40"/>
      <c r="AY29" s="40"/>
      <c r="AZ29" s="40"/>
      <c r="BA29" s="40"/>
      <c r="BB29" s="40"/>
      <c r="BC29" s="40"/>
      <c r="BD29" s="40"/>
      <c r="BE29" s="40"/>
      <c r="BF29" s="40"/>
      <c r="BG29" s="40"/>
      <c r="BH29" s="40"/>
      <c r="BI29" s="40"/>
      <c r="BJ29" s="41"/>
    </row>
    <row r="30" spans="2:62" x14ac:dyDescent="0.35">
      <c r="B30" s="89" t="str">
        <v>DC-10</v>
      </c>
      <c r="C30" s="88"/>
      <c r="D30" s="88"/>
      <c r="E30" s="88"/>
      <c r="F30" s="88"/>
      <c r="G30" s="88"/>
      <c r="H30" s="88"/>
      <c r="I30" s="87"/>
      <c r="M30" s="202" t="s">
        <v>39</v>
      </c>
      <c r="N30" s="223" t="str">
        <v>Min comp</v>
      </c>
      <c r="O30" s="224" t="str">
        <v>N</v>
      </c>
      <c r="P30" s="225" t="str">
        <v>N</v>
      </c>
      <c r="Q30" s="223" t="str">
        <v>Min comp</v>
      </c>
      <c r="R30" s="224" t="str">
        <v>N</v>
      </c>
      <c r="S30" s="225" t="str">
        <v>N</v>
      </c>
      <c r="T30" s="223" t="str">
        <v>Min comp</v>
      </c>
      <c r="U30" s="224" t="str">
        <v>N</v>
      </c>
      <c r="V30" s="225" t="str">
        <v>N</v>
      </c>
      <c r="W30" s="223" t="str">
        <v/>
      </c>
      <c r="X30" s="224" t="str">
        <v>N</v>
      </c>
      <c r="Y30" s="225" t="str">
        <v/>
      </c>
      <c r="Z30" s="223" t="str">
        <v/>
      </c>
      <c r="AA30" s="224" t="str">
        <v>N</v>
      </c>
      <c r="AB30" s="225" t="str">
        <v/>
      </c>
      <c r="AC30" s="223" t="str">
        <v/>
      </c>
      <c r="AD30" s="224" t="str">
        <v>N</v>
      </c>
      <c r="AE30" s="225" t="str">
        <v/>
      </c>
      <c r="AF30" s="223" t="str">
        <v/>
      </c>
      <c r="AG30" s="224" t="str">
        <v>N</v>
      </c>
      <c r="AH30" s="225" t="str">
        <v/>
      </c>
      <c r="AI30" s="223" t="str">
        <v/>
      </c>
      <c r="AJ30" s="224" t="str">
        <v>N</v>
      </c>
      <c r="AK30" s="225" t="str">
        <v/>
      </c>
      <c r="AM30" s="197" t="str">
        <v>Min comp</v>
      </c>
      <c r="AN30" s="40" t="str">
        <v>N</v>
      </c>
      <c r="AO30" s="40" t="str">
        <v>Min comp</v>
      </c>
      <c r="AP30" s="40" t="str">
        <v>N</v>
      </c>
      <c r="AQ30" s="40" t="str">
        <v>Min comp</v>
      </c>
      <c r="AR30" s="40" t="str">
        <v>N</v>
      </c>
      <c r="AS30" s="40"/>
      <c r="AT30" s="40"/>
      <c r="AU30" s="40"/>
      <c r="AV30" s="40"/>
      <c r="AW30" s="40"/>
      <c r="AX30" s="40"/>
      <c r="AY30" s="40"/>
      <c r="AZ30" s="40"/>
      <c r="BA30" s="40"/>
      <c r="BB30" s="40"/>
      <c r="BC30" s="40"/>
      <c r="BD30" s="40"/>
      <c r="BE30" s="40"/>
      <c r="BF30" s="40"/>
      <c r="BG30" s="40"/>
      <c r="BH30" s="40"/>
      <c r="BI30" s="40"/>
      <c r="BJ30" s="41"/>
    </row>
    <row r="31" spans="2:62" x14ac:dyDescent="0.35">
      <c r="B31" s="89" t="str">
        <v>DC-12</v>
      </c>
      <c r="C31" s="88"/>
      <c r="D31" s="88"/>
      <c r="E31" s="88"/>
      <c r="F31" s="88"/>
      <c r="G31" s="88"/>
      <c r="H31" s="88"/>
      <c r="I31" s="87"/>
      <c r="M31" s="202" t="s">
        <v>41</v>
      </c>
      <c r="N31" s="223" t="str">
        <v>Hi comp</v>
      </c>
      <c r="O31" s="224" t="str">
        <v>Y</v>
      </c>
      <c r="P31" s="225" t="str">
        <v/>
      </c>
      <c r="Q31" s="223" t="str">
        <v>Hi comp</v>
      </c>
      <c r="R31" s="224" t="str">
        <v>Y</v>
      </c>
      <c r="S31" s="225" t="str">
        <v/>
      </c>
      <c r="T31" s="223" t="str">
        <v>Hi comp</v>
      </c>
      <c r="U31" s="224" t="str">
        <v>Y</v>
      </c>
      <c r="V31" s="225" t="str">
        <v/>
      </c>
      <c r="W31" s="223" t="str">
        <v/>
      </c>
      <c r="X31" s="224" t="str">
        <v>Y</v>
      </c>
      <c r="Y31" s="225" t="str">
        <v/>
      </c>
      <c r="Z31" s="223" t="str">
        <v/>
      </c>
      <c r="AA31" s="224" t="str">
        <v>Y</v>
      </c>
      <c r="AB31" s="225" t="str">
        <v/>
      </c>
      <c r="AC31" s="223" t="str">
        <v/>
      </c>
      <c r="AD31" s="224" t="str">
        <v>Y</v>
      </c>
      <c r="AE31" s="225" t="str">
        <v/>
      </c>
      <c r="AF31" s="223" t="str">
        <v/>
      </c>
      <c r="AG31" s="224" t="str">
        <v>Y</v>
      </c>
      <c r="AH31" s="225" t="str">
        <v/>
      </c>
      <c r="AI31" s="223" t="str">
        <v/>
      </c>
      <c r="AJ31" s="224" t="str">
        <v>Y</v>
      </c>
      <c r="AK31" s="225" t="str">
        <v/>
      </c>
      <c r="AM31" s="197" t="str">
        <v>Hi comp</v>
      </c>
      <c r="AN31" s="40" t="str">
        <v>Y</v>
      </c>
      <c r="AO31" s="40" t="str">
        <v>Hi comp</v>
      </c>
      <c r="AP31" s="40" t="str">
        <v>Y</v>
      </c>
      <c r="AQ31" s="40" t="str">
        <v>Hi comp</v>
      </c>
      <c r="AR31" s="40" t="str">
        <v>Y</v>
      </c>
      <c r="AS31" s="40"/>
      <c r="AT31" s="40"/>
      <c r="AU31" s="40"/>
      <c r="AV31" s="40"/>
      <c r="AW31" s="40"/>
      <c r="AX31" s="40"/>
      <c r="AY31" s="40"/>
      <c r="AZ31" s="40"/>
      <c r="BA31" s="40"/>
      <c r="BB31" s="40"/>
      <c r="BC31" s="40"/>
      <c r="BD31" s="40"/>
      <c r="BE31" s="40"/>
      <c r="BF31" s="40"/>
      <c r="BG31" s="40"/>
      <c r="BH31" s="40"/>
      <c r="BI31" s="40"/>
      <c r="BJ31" s="41"/>
    </row>
    <row r="32" spans="2:62" x14ac:dyDescent="0.35">
      <c r="B32" s="89"/>
      <c r="C32" s="88"/>
      <c r="D32" s="88"/>
      <c r="E32" s="88"/>
      <c r="F32" s="88"/>
      <c r="G32" s="88"/>
      <c r="H32" s="88"/>
      <c r="I32" s="87"/>
      <c r="M32" s="202" t="s">
        <v>43</v>
      </c>
      <c r="N32" s="223" t="str">
        <v>Comp</v>
      </c>
      <c r="O32" s="224" t="str">
        <v>Y</v>
      </c>
      <c r="P32" s="225" t="str">
        <v>Y</v>
      </c>
      <c r="Q32" s="223" t="str">
        <v>Hi comp</v>
      </c>
      <c r="R32" s="224" t="str">
        <v>Y</v>
      </c>
      <c r="S32" s="225" t="str">
        <v>N</v>
      </c>
      <c r="T32" s="223" t="str">
        <v>Hi comp</v>
      </c>
      <c r="U32" s="224" t="str">
        <v>Y</v>
      </c>
      <c r="V32" s="225" t="str">
        <v/>
      </c>
      <c r="W32" s="223" t="str">
        <v/>
      </c>
      <c r="X32" s="224" t="str">
        <v>Y</v>
      </c>
      <c r="Y32" s="225" t="str">
        <v/>
      </c>
      <c r="Z32" s="223" t="str">
        <v/>
      </c>
      <c r="AA32" s="224" t="str">
        <v>Y</v>
      </c>
      <c r="AB32" s="225" t="str">
        <v/>
      </c>
      <c r="AC32" s="223" t="str">
        <v/>
      </c>
      <c r="AD32" s="224" t="str">
        <v>Y</v>
      </c>
      <c r="AE32" s="225" t="str">
        <v/>
      </c>
      <c r="AF32" s="223" t="str">
        <v/>
      </c>
      <c r="AG32" s="224" t="str">
        <v>Y</v>
      </c>
      <c r="AH32" s="225" t="str">
        <v/>
      </c>
      <c r="AI32" s="223" t="str">
        <v/>
      </c>
      <c r="AJ32" s="224" t="str">
        <v>Y</v>
      </c>
      <c r="AK32" s="225" t="str">
        <v/>
      </c>
      <c r="AM32" s="197" t="str">
        <v>Comp</v>
      </c>
      <c r="AN32" s="40" t="str">
        <v>Y</v>
      </c>
      <c r="AO32" s="40" t="str">
        <v>Hi comp</v>
      </c>
      <c r="AP32" s="40" t="str">
        <v>Y</v>
      </c>
      <c r="AQ32" s="40" t="str">
        <v>Hi comp</v>
      </c>
      <c r="AR32" s="40" t="str">
        <v>Y</v>
      </c>
      <c r="AS32" s="40"/>
      <c r="AT32" s="40"/>
      <c r="AU32" s="40"/>
      <c r="AV32" s="40"/>
      <c r="AW32" s="40"/>
      <c r="AX32" s="40"/>
      <c r="AY32" s="40"/>
      <c r="AZ32" s="40"/>
      <c r="BA32" s="40"/>
      <c r="BB32" s="40"/>
      <c r="BC32" s="40"/>
      <c r="BD32" s="40"/>
      <c r="BE32" s="40"/>
      <c r="BF32" s="40"/>
      <c r="BG32" s="40"/>
      <c r="BH32" s="40"/>
      <c r="BI32" s="40"/>
      <c r="BJ32" s="41"/>
    </row>
    <row r="33" spans="2:62" x14ac:dyDescent="0.35">
      <c r="B33" s="89"/>
      <c r="C33" s="88"/>
      <c r="D33" s="88"/>
      <c r="E33" s="88"/>
      <c r="F33" s="88"/>
      <c r="G33" s="88"/>
      <c r="H33" s="88"/>
      <c r="I33" s="87"/>
      <c r="M33" s="202" t="s">
        <v>45</v>
      </c>
      <c r="N33" s="223" t="str">
        <v>Comp</v>
      </c>
      <c r="O33" s="224" t="str">
        <v>Y</v>
      </c>
      <c r="P33" s="225" t="str">
        <v>Y</v>
      </c>
      <c r="Q33" s="223" t="str">
        <v>Comp</v>
      </c>
      <c r="R33" s="224" t="str">
        <v>Y</v>
      </c>
      <c r="S33" s="225" t="str">
        <v>Y</v>
      </c>
      <c r="T33" s="223" t="str">
        <v>Comp</v>
      </c>
      <c r="U33" s="224" t="str">
        <v>Y</v>
      </c>
      <c r="V33" s="225" t="str">
        <v>Y</v>
      </c>
      <c r="W33" s="223" t="str">
        <v/>
      </c>
      <c r="X33" s="224" t="str">
        <v>Y</v>
      </c>
      <c r="Y33" s="225" t="str">
        <v/>
      </c>
      <c r="Z33" s="223" t="str">
        <v/>
      </c>
      <c r="AA33" s="224" t="str">
        <v>Y</v>
      </c>
      <c r="AB33" s="225" t="str">
        <v/>
      </c>
      <c r="AC33" s="223" t="str">
        <v/>
      </c>
      <c r="AD33" s="224" t="str">
        <v>Y</v>
      </c>
      <c r="AE33" s="225" t="str">
        <v/>
      </c>
      <c r="AF33" s="223" t="str">
        <v/>
      </c>
      <c r="AG33" s="224" t="str">
        <v>Y</v>
      </c>
      <c r="AH33" s="225" t="str">
        <v/>
      </c>
      <c r="AI33" s="223" t="str">
        <v/>
      </c>
      <c r="AJ33" s="224" t="str">
        <v>Y</v>
      </c>
      <c r="AK33" s="225" t="str">
        <v/>
      </c>
      <c r="AM33" s="197" t="str">
        <v>Comp</v>
      </c>
      <c r="AN33" s="40" t="str">
        <v>Y</v>
      </c>
      <c r="AO33" s="40" t="str">
        <v>Comp</v>
      </c>
      <c r="AP33" s="40" t="str">
        <v>Y</v>
      </c>
      <c r="AQ33" s="40" t="str">
        <v>Comp</v>
      </c>
      <c r="AR33" s="40" t="str">
        <v>Y</v>
      </c>
      <c r="AS33" s="40"/>
      <c r="AT33" s="40"/>
      <c r="AU33" s="40"/>
      <c r="AV33" s="40"/>
      <c r="AW33" s="40"/>
      <c r="AX33" s="40"/>
      <c r="AY33" s="40"/>
      <c r="AZ33" s="40"/>
      <c r="BA33" s="40"/>
      <c r="BB33" s="40"/>
      <c r="BC33" s="40"/>
      <c r="BD33" s="40"/>
      <c r="BE33" s="40"/>
      <c r="BF33" s="40"/>
      <c r="BG33" s="40"/>
      <c r="BH33" s="40"/>
      <c r="BI33" s="40"/>
      <c r="BJ33" s="41"/>
    </row>
    <row r="34" spans="2:62" x14ac:dyDescent="0.35">
      <c r="B34" s="89"/>
      <c r="C34" s="88"/>
      <c r="D34" s="88"/>
      <c r="E34" s="88"/>
      <c r="F34" s="88"/>
      <c r="G34" s="88"/>
      <c r="H34" s="88"/>
      <c r="I34" s="87"/>
      <c r="M34" s="202" t="s">
        <v>47</v>
      </c>
      <c r="N34" s="223" t="str">
        <v>Comp</v>
      </c>
      <c r="O34" s="224" t="str">
        <v>Y</v>
      </c>
      <c r="P34" s="225" t="str">
        <v>Y</v>
      </c>
      <c r="Q34" s="223" t="str">
        <v>Comp</v>
      </c>
      <c r="R34" s="224" t="str">
        <v>Y</v>
      </c>
      <c r="S34" s="225" t="str">
        <v>Y</v>
      </c>
      <c r="T34" s="223" t="str">
        <v>Comp</v>
      </c>
      <c r="U34" s="224" t="str">
        <v>Y</v>
      </c>
      <c r="V34" s="225" t="str">
        <v>Y</v>
      </c>
      <c r="W34" s="223" t="str">
        <v/>
      </c>
      <c r="X34" s="224" t="str">
        <v>Y</v>
      </c>
      <c r="Y34" s="225" t="str">
        <v/>
      </c>
      <c r="Z34" s="223" t="str">
        <v/>
      </c>
      <c r="AA34" s="224" t="str">
        <v>Y</v>
      </c>
      <c r="AB34" s="225" t="str">
        <v/>
      </c>
      <c r="AC34" s="223" t="str">
        <v/>
      </c>
      <c r="AD34" s="224" t="str">
        <v>Y</v>
      </c>
      <c r="AE34" s="225" t="str">
        <v/>
      </c>
      <c r="AF34" s="223" t="str">
        <v/>
      </c>
      <c r="AG34" s="224" t="str">
        <v>Y</v>
      </c>
      <c r="AH34" s="225" t="str">
        <v/>
      </c>
      <c r="AI34" s="223" t="str">
        <v/>
      </c>
      <c r="AJ34" s="224" t="str">
        <v>Y</v>
      </c>
      <c r="AK34" s="225" t="str">
        <v/>
      </c>
      <c r="AM34" s="197" t="str">
        <v>Comp</v>
      </c>
      <c r="AN34" s="40" t="str">
        <v>Y</v>
      </c>
      <c r="AO34" s="40" t="str">
        <v>Comp</v>
      </c>
      <c r="AP34" s="40" t="str">
        <v>Y</v>
      </c>
      <c r="AQ34" s="40" t="str">
        <v>Comp</v>
      </c>
      <c r="AR34" s="40" t="str">
        <v>Y</v>
      </c>
      <c r="AS34" s="40"/>
      <c r="AT34" s="40"/>
      <c r="AU34" s="40"/>
      <c r="AV34" s="40"/>
      <c r="AW34" s="40"/>
      <c r="AX34" s="40"/>
      <c r="AY34" s="40"/>
      <c r="AZ34" s="40"/>
      <c r="BA34" s="40"/>
      <c r="BB34" s="40"/>
      <c r="BC34" s="40"/>
      <c r="BD34" s="40"/>
      <c r="BE34" s="40"/>
      <c r="BF34" s="40"/>
      <c r="BG34" s="40"/>
      <c r="BH34" s="40"/>
      <c r="BI34" s="40"/>
      <c r="BJ34" s="41"/>
    </row>
    <row r="35" spans="2:62" x14ac:dyDescent="0.35">
      <c r="B35" s="89"/>
      <c r="C35" s="88"/>
      <c r="D35" s="88"/>
      <c r="E35" s="88"/>
      <c r="F35" s="88"/>
      <c r="G35" s="88"/>
      <c r="H35" s="88"/>
      <c r="I35" s="87"/>
      <c r="M35" s="203" t="s">
        <v>49</v>
      </c>
      <c r="N35" s="226" t="str">
        <v>Hi comp</v>
      </c>
      <c r="O35" s="227" t="str">
        <v>Y</v>
      </c>
      <c r="P35" s="228" t="str">
        <v/>
      </c>
      <c r="Q35" s="226" t="str">
        <v>Hi comp</v>
      </c>
      <c r="R35" s="227" t="str">
        <v>Y</v>
      </c>
      <c r="S35" s="228" t="str">
        <v/>
      </c>
      <c r="T35" s="226" t="str">
        <v>Hi comp</v>
      </c>
      <c r="U35" s="227" t="str">
        <v>Y</v>
      </c>
      <c r="V35" s="228" t="str">
        <v/>
      </c>
      <c r="W35" s="226" t="str">
        <v/>
      </c>
      <c r="X35" s="227" t="str">
        <v>Y</v>
      </c>
      <c r="Y35" s="228" t="str">
        <v/>
      </c>
      <c r="Z35" s="226" t="str">
        <v/>
      </c>
      <c r="AA35" s="227" t="str">
        <v>Y</v>
      </c>
      <c r="AB35" s="228" t="str">
        <v/>
      </c>
      <c r="AC35" s="226" t="str">
        <v/>
      </c>
      <c r="AD35" s="227" t="str">
        <v>Y</v>
      </c>
      <c r="AE35" s="228" t="str">
        <v/>
      </c>
      <c r="AF35" s="226" t="str">
        <v/>
      </c>
      <c r="AG35" s="227" t="str">
        <v>Y</v>
      </c>
      <c r="AH35" s="228" t="str">
        <v/>
      </c>
      <c r="AI35" s="226" t="str">
        <v/>
      </c>
      <c r="AJ35" s="227" t="str">
        <v>Y</v>
      </c>
      <c r="AK35" s="228" t="str">
        <v/>
      </c>
      <c r="AM35" s="197" t="str">
        <v>Hi comp</v>
      </c>
      <c r="AN35" s="40" t="str">
        <v>Y</v>
      </c>
      <c r="AO35" s="40" t="str">
        <v>Hi comp</v>
      </c>
      <c r="AP35" s="40" t="str">
        <v>Y</v>
      </c>
      <c r="AQ35" s="40" t="str">
        <v>Hi comp</v>
      </c>
      <c r="AR35" s="40" t="str">
        <v>Y</v>
      </c>
      <c r="AS35" s="40"/>
      <c r="AT35" s="40"/>
      <c r="AU35" s="40"/>
      <c r="AV35" s="40"/>
      <c r="AW35" s="40"/>
      <c r="AX35" s="40"/>
      <c r="AY35" s="40"/>
      <c r="AZ35" s="40"/>
      <c r="BA35" s="40"/>
      <c r="BB35" s="40"/>
      <c r="BC35" s="40"/>
      <c r="BD35" s="40"/>
      <c r="BE35" s="40"/>
      <c r="BF35" s="40"/>
      <c r="BG35" s="40"/>
      <c r="BH35" s="40"/>
      <c r="BI35" s="40"/>
      <c r="BJ35" s="41"/>
    </row>
    <row r="36" spans="2:62" x14ac:dyDescent="0.35">
      <c r="B36" s="89"/>
      <c r="C36" s="88"/>
      <c r="D36" s="88"/>
      <c r="E36" s="88"/>
      <c r="F36" s="88"/>
      <c r="G36" s="88"/>
      <c r="H36" s="88"/>
      <c r="I36" s="87"/>
      <c r="M36" s="204" t="s">
        <v>51</v>
      </c>
      <c r="N36" s="220" t="str">
        <v>Comp</v>
      </c>
      <c r="O36" s="221" t="str">
        <v>N</v>
      </c>
      <c r="P36" s="222" t="str">
        <v>N</v>
      </c>
      <c r="Q36" s="220" t="str">
        <v>Comp</v>
      </c>
      <c r="R36" s="221" t="str">
        <v>N</v>
      </c>
      <c r="S36" s="222" t="str">
        <v>N</v>
      </c>
      <c r="T36" s="220" t="str">
        <v>Comp</v>
      </c>
      <c r="U36" s="221" t="str">
        <v>N</v>
      </c>
      <c r="V36" s="222" t="str">
        <v>N</v>
      </c>
      <c r="W36" s="220" t="str">
        <v/>
      </c>
      <c r="X36" s="221" t="str">
        <v>N</v>
      </c>
      <c r="Y36" s="222" t="str">
        <v/>
      </c>
      <c r="Z36" s="220" t="str">
        <v/>
      </c>
      <c r="AA36" s="221" t="str">
        <v>N</v>
      </c>
      <c r="AB36" s="222" t="str">
        <v/>
      </c>
      <c r="AC36" s="220" t="str">
        <v/>
      </c>
      <c r="AD36" s="221" t="str">
        <v>N</v>
      </c>
      <c r="AE36" s="222" t="str">
        <v/>
      </c>
      <c r="AF36" s="220" t="str">
        <v/>
      </c>
      <c r="AG36" s="221" t="str">
        <v>N</v>
      </c>
      <c r="AH36" s="222" t="str">
        <v/>
      </c>
      <c r="AI36" s="220" t="str">
        <v/>
      </c>
      <c r="AJ36" s="221" t="str">
        <v>N</v>
      </c>
      <c r="AK36" s="222" t="str">
        <v/>
      </c>
      <c r="AM36" s="197" t="str">
        <v>Comp</v>
      </c>
      <c r="AN36" s="40" t="str">
        <v>N</v>
      </c>
      <c r="AO36" s="40" t="str">
        <v>Comp</v>
      </c>
      <c r="AP36" s="40" t="str">
        <v>N</v>
      </c>
      <c r="AQ36" s="40" t="str">
        <v>Comp</v>
      </c>
      <c r="AR36" s="40" t="str">
        <v>N</v>
      </c>
      <c r="AS36" s="40"/>
      <c r="AT36" s="40"/>
      <c r="AU36" s="40"/>
      <c r="AV36" s="40"/>
      <c r="AW36" s="40"/>
      <c r="AX36" s="40"/>
      <c r="AY36" s="40"/>
      <c r="AZ36" s="40"/>
      <c r="BA36" s="40"/>
      <c r="BB36" s="40"/>
      <c r="BC36" s="40"/>
      <c r="BD36" s="40"/>
      <c r="BE36" s="40"/>
      <c r="BF36" s="40"/>
      <c r="BG36" s="40"/>
      <c r="BH36" s="40"/>
      <c r="BI36" s="40"/>
      <c r="BJ36" s="41"/>
    </row>
    <row r="37" spans="2:62" x14ac:dyDescent="0.35">
      <c r="B37" s="89"/>
      <c r="C37" s="88"/>
      <c r="D37" s="88"/>
      <c r="E37" s="88"/>
      <c r="F37" s="88"/>
      <c r="G37" s="88"/>
      <c r="H37" s="88"/>
      <c r="I37" s="87"/>
      <c r="M37" s="205" t="s">
        <v>53</v>
      </c>
      <c r="N37" s="223" t="str">
        <v>Hi comp</v>
      </c>
      <c r="O37" s="224" t="str">
        <v>Y</v>
      </c>
      <c r="P37" s="225" t="str">
        <v/>
      </c>
      <c r="Q37" s="223" t="str">
        <v>Hi comp</v>
      </c>
      <c r="R37" s="224" t="str">
        <v>Y</v>
      </c>
      <c r="S37" s="225" t="str">
        <v/>
      </c>
      <c r="T37" s="223" t="str">
        <v>Hi comp</v>
      </c>
      <c r="U37" s="224" t="str">
        <v>Y</v>
      </c>
      <c r="V37" s="225" t="str">
        <v/>
      </c>
      <c r="W37" s="223" t="str">
        <v/>
      </c>
      <c r="X37" s="224" t="str">
        <v>Y</v>
      </c>
      <c r="Y37" s="225" t="str">
        <v/>
      </c>
      <c r="Z37" s="223" t="str">
        <v/>
      </c>
      <c r="AA37" s="224" t="str">
        <v>Y</v>
      </c>
      <c r="AB37" s="225" t="str">
        <v/>
      </c>
      <c r="AC37" s="223" t="str">
        <v/>
      </c>
      <c r="AD37" s="224" t="str">
        <v>Y</v>
      </c>
      <c r="AE37" s="225" t="str">
        <v/>
      </c>
      <c r="AF37" s="223" t="str">
        <v/>
      </c>
      <c r="AG37" s="224" t="str">
        <v>Y</v>
      </c>
      <c r="AH37" s="225" t="str">
        <v/>
      </c>
      <c r="AI37" s="223" t="str">
        <v/>
      </c>
      <c r="AJ37" s="224" t="str">
        <v>Y</v>
      </c>
      <c r="AK37" s="225" t="str">
        <v/>
      </c>
      <c r="AM37" s="197" t="str">
        <v>Hi comp</v>
      </c>
      <c r="AN37" s="40" t="str">
        <v>Y</v>
      </c>
      <c r="AO37" s="40" t="str">
        <v>Hi comp</v>
      </c>
      <c r="AP37" s="40" t="str">
        <v>Y</v>
      </c>
      <c r="AQ37" s="40" t="str">
        <v>Hi comp</v>
      </c>
      <c r="AR37" s="40" t="str">
        <v>Y</v>
      </c>
      <c r="AS37" s="40"/>
      <c r="AT37" s="40"/>
      <c r="AU37" s="40"/>
      <c r="AV37" s="40"/>
      <c r="AW37" s="40"/>
      <c r="AX37" s="40"/>
      <c r="AY37" s="40"/>
      <c r="AZ37" s="40"/>
      <c r="BA37" s="40"/>
      <c r="BB37" s="40"/>
      <c r="BC37" s="40"/>
      <c r="BD37" s="40"/>
      <c r="BE37" s="40"/>
      <c r="BF37" s="40"/>
      <c r="BG37" s="40"/>
      <c r="BH37" s="40"/>
      <c r="BI37" s="40"/>
      <c r="BJ37" s="41"/>
    </row>
    <row r="38" spans="2:62" x14ac:dyDescent="0.35">
      <c r="B38" s="89"/>
      <c r="C38" s="88"/>
      <c r="D38" s="88"/>
      <c r="E38" s="88"/>
      <c r="F38" s="88"/>
      <c r="G38" s="88"/>
      <c r="H38" s="88"/>
      <c r="I38" s="87"/>
      <c r="M38" s="205" t="s">
        <v>55</v>
      </c>
      <c r="N38" s="223" t="str">
        <v>Comp</v>
      </c>
      <c r="O38" s="224" t="str">
        <v>Y</v>
      </c>
      <c r="P38" s="225" t="str">
        <v>Y</v>
      </c>
      <c r="Q38" s="223" t="str">
        <v>Hi comp</v>
      </c>
      <c r="R38" s="224" t="str">
        <v>Y</v>
      </c>
      <c r="S38" s="225" t="str">
        <v/>
      </c>
      <c r="T38" s="223" t="str">
        <v>Hi comp</v>
      </c>
      <c r="U38" s="224" t="str">
        <v>Y</v>
      </c>
      <c r="V38" s="225" t="str">
        <v/>
      </c>
      <c r="W38" s="223" t="str">
        <v/>
      </c>
      <c r="X38" s="224" t="str">
        <v>Y</v>
      </c>
      <c r="Y38" s="225" t="str">
        <v/>
      </c>
      <c r="Z38" s="223" t="str">
        <v/>
      </c>
      <c r="AA38" s="224" t="str">
        <v>Y</v>
      </c>
      <c r="AB38" s="225" t="str">
        <v/>
      </c>
      <c r="AC38" s="223" t="str">
        <v/>
      </c>
      <c r="AD38" s="224" t="str">
        <v>Y</v>
      </c>
      <c r="AE38" s="225" t="str">
        <v/>
      </c>
      <c r="AF38" s="223" t="str">
        <v/>
      </c>
      <c r="AG38" s="224" t="str">
        <v>Y</v>
      </c>
      <c r="AH38" s="225" t="str">
        <v/>
      </c>
      <c r="AI38" s="223" t="str">
        <v/>
      </c>
      <c r="AJ38" s="224" t="str">
        <v>Y</v>
      </c>
      <c r="AK38" s="225" t="str">
        <v/>
      </c>
      <c r="AM38" s="197" t="str">
        <v>Comp</v>
      </c>
      <c r="AN38" s="40" t="str">
        <v>Y</v>
      </c>
      <c r="AO38" s="40" t="str">
        <v>Hi comp</v>
      </c>
      <c r="AP38" s="40" t="str">
        <v>Y</v>
      </c>
      <c r="AQ38" s="40" t="str">
        <v>Hi comp</v>
      </c>
      <c r="AR38" s="40" t="str">
        <v>Y</v>
      </c>
      <c r="AS38" s="40"/>
      <c r="AT38" s="40"/>
      <c r="AU38" s="40"/>
      <c r="AV38" s="40"/>
      <c r="AW38" s="40"/>
      <c r="AX38" s="40"/>
      <c r="AY38" s="40"/>
      <c r="AZ38" s="40"/>
      <c r="BA38" s="40"/>
      <c r="BB38" s="40"/>
      <c r="BC38" s="40"/>
      <c r="BD38" s="40"/>
      <c r="BE38" s="40"/>
      <c r="BF38" s="40"/>
      <c r="BG38" s="40"/>
      <c r="BH38" s="40"/>
      <c r="BI38" s="40"/>
      <c r="BJ38" s="41"/>
    </row>
    <row r="39" spans="2:62" x14ac:dyDescent="0.35">
      <c r="B39" s="89"/>
      <c r="C39" s="88"/>
      <c r="D39" s="88"/>
      <c r="E39" s="88"/>
      <c r="F39" s="88"/>
      <c r="G39" s="88"/>
      <c r="H39" s="88"/>
      <c r="I39" s="87"/>
      <c r="M39" s="205" t="s">
        <v>57</v>
      </c>
      <c r="N39" s="223" t="str">
        <v>Min comp</v>
      </c>
      <c r="O39" s="224" t="str">
        <v>Y</v>
      </c>
      <c r="P39" s="225" t="str">
        <v>Y</v>
      </c>
      <c r="Q39" s="223" t="str">
        <v>Comp</v>
      </c>
      <c r="R39" s="224" t="str">
        <v>Y</v>
      </c>
      <c r="S39" s="225" t="str">
        <v>Y</v>
      </c>
      <c r="T39" s="223" t="str">
        <v>Hi comp</v>
      </c>
      <c r="U39" s="224" t="str">
        <v>Y</v>
      </c>
      <c r="V39" s="225" t="str">
        <v/>
      </c>
      <c r="W39" s="223" t="str">
        <v/>
      </c>
      <c r="X39" s="224" t="str">
        <v>Y</v>
      </c>
      <c r="Y39" s="225" t="str">
        <v/>
      </c>
      <c r="Z39" s="223" t="str">
        <v/>
      </c>
      <c r="AA39" s="224" t="str">
        <v>Y</v>
      </c>
      <c r="AB39" s="225" t="str">
        <v/>
      </c>
      <c r="AC39" s="223" t="str">
        <v/>
      </c>
      <c r="AD39" s="224" t="str">
        <v>Y</v>
      </c>
      <c r="AE39" s="225" t="str">
        <v/>
      </c>
      <c r="AF39" s="223" t="str">
        <v/>
      </c>
      <c r="AG39" s="224" t="str">
        <v>Y</v>
      </c>
      <c r="AH39" s="225" t="str">
        <v/>
      </c>
      <c r="AI39" s="223" t="str">
        <v/>
      </c>
      <c r="AJ39" s="224" t="str">
        <v>Y</v>
      </c>
      <c r="AK39" s="225" t="str">
        <v/>
      </c>
      <c r="AM39" s="197" t="str">
        <v>Min comp</v>
      </c>
      <c r="AN39" s="40" t="str">
        <v>Y</v>
      </c>
      <c r="AO39" s="40" t="str">
        <v>Comp</v>
      </c>
      <c r="AP39" s="40" t="str">
        <v>Y</v>
      </c>
      <c r="AQ39" s="40" t="str">
        <v>Hi comp</v>
      </c>
      <c r="AR39" s="40" t="str">
        <v>Y</v>
      </c>
      <c r="AS39" s="40"/>
      <c r="AT39" s="40"/>
      <c r="AU39" s="40"/>
      <c r="AV39" s="40"/>
      <c r="AW39" s="40"/>
      <c r="AX39" s="40"/>
      <c r="AY39" s="40"/>
      <c r="AZ39" s="40"/>
      <c r="BA39" s="40"/>
      <c r="BB39" s="40"/>
      <c r="BC39" s="40"/>
      <c r="BD39" s="40"/>
      <c r="BE39" s="40"/>
      <c r="BF39" s="40"/>
      <c r="BG39" s="40"/>
      <c r="BH39" s="40"/>
      <c r="BI39" s="40"/>
      <c r="BJ39" s="41"/>
    </row>
    <row r="40" spans="2:62" x14ac:dyDescent="0.35">
      <c r="B40" s="89"/>
      <c r="C40" s="88"/>
      <c r="D40" s="88"/>
      <c r="E40" s="88"/>
      <c r="F40" s="88"/>
      <c r="G40" s="88"/>
      <c r="H40" s="88"/>
      <c r="I40" s="87"/>
      <c r="M40" s="205" t="s">
        <v>59</v>
      </c>
      <c r="N40" s="223" t="str">
        <v>Comp</v>
      </c>
      <c r="O40" s="224" t="str">
        <v>Y</v>
      </c>
      <c r="P40" s="225" t="str">
        <v>Y</v>
      </c>
      <c r="Q40" s="223" t="str">
        <v>Comp</v>
      </c>
      <c r="R40" s="224" t="str">
        <v>Y</v>
      </c>
      <c r="S40" s="225" t="str">
        <v>Y</v>
      </c>
      <c r="T40" s="223" t="str">
        <v>Comp</v>
      </c>
      <c r="U40" s="224" t="str">
        <v>Y</v>
      </c>
      <c r="V40" s="225" t="str">
        <v>Y</v>
      </c>
      <c r="W40" s="223" t="str">
        <v/>
      </c>
      <c r="X40" s="224" t="str">
        <v>Y</v>
      </c>
      <c r="Y40" s="225" t="str">
        <v/>
      </c>
      <c r="Z40" s="223" t="str">
        <v/>
      </c>
      <c r="AA40" s="224" t="str">
        <v>Y</v>
      </c>
      <c r="AB40" s="225" t="str">
        <v/>
      </c>
      <c r="AC40" s="223" t="str">
        <v/>
      </c>
      <c r="AD40" s="224" t="str">
        <v>Y</v>
      </c>
      <c r="AE40" s="225" t="str">
        <v/>
      </c>
      <c r="AF40" s="223" t="str">
        <v/>
      </c>
      <c r="AG40" s="224" t="str">
        <v>Y</v>
      </c>
      <c r="AH40" s="225" t="str">
        <v/>
      </c>
      <c r="AI40" s="223" t="str">
        <v/>
      </c>
      <c r="AJ40" s="224" t="str">
        <v>Y</v>
      </c>
      <c r="AK40" s="225" t="str">
        <v/>
      </c>
      <c r="AM40" s="197" t="str">
        <v>Comp</v>
      </c>
      <c r="AN40" s="40" t="str">
        <v>Y</v>
      </c>
      <c r="AO40" s="40" t="str">
        <v>Comp</v>
      </c>
      <c r="AP40" s="40" t="str">
        <v>Y</v>
      </c>
      <c r="AQ40" s="40" t="str">
        <v>Comp</v>
      </c>
      <c r="AR40" s="40" t="str">
        <v>Y</v>
      </c>
      <c r="AS40" s="40"/>
      <c r="AT40" s="40"/>
      <c r="AU40" s="40"/>
      <c r="AV40" s="40"/>
      <c r="AW40" s="40"/>
      <c r="AX40" s="40"/>
      <c r="AY40" s="40"/>
      <c r="AZ40" s="40"/>
      <c r="BA40" s="40"/>
      <c r="BB40" s="40"/>
      <c r="BC40" s="40"/>
      <c r="BD40" s="40"/>
      <c r="BE40" s="40"/>
      <c r="BF40" s="40"/>
      <c r="BG40" s="40"/>
      <c r="BH40" s="40"/>
      <c r="BI40" s="40"/>
      <c r="BJ40" s="41"/>
    </row>
    <row r="41" spans="2:62" x14ac:dyDescent="0.35">
      <c r="B41" s="89"/>
      <c r="C41" s="88"/>
      <c r="D41" s="88"/>
      <c r="E41" s="88"/>
      <c r="F41" s="88"/>
      <c r="G41" s="88"/>
      <c r="H41" s="88"/>
      <c r="I41" s="87"/>
      <c r="M41" s="205" t="s">
        <v>61</v>
      </c>
      <c r="N41" s="223" t="str">
        <v>Comp</v>
      </c>
      <c r="O41" s="224" t="str">
        <v>Y</v>
      </c>
      <c r="P41" s="225" t="str">
        <v>Y</v>
      </c>
      <c r="Q41" s="223" t="str">
        <v>Comp</v>
      </c>
      <c r="R41" s="224" t="str">
        <v>Y</v>
      </c>
      <c r="S41" s="225" t="str">
        <v>Y</v>
      </c>
      <c r="T41" s="223" t="str">
        <v>Comp</v>
      </c>
      <c r="U41" s="224" t="str">
        <v>Y</v>
      </c>
      <c r="V41" s="225" t="str">
        <v>Y</v>
      </c>
      <c r="W41" s="223" t="str">
        <v/>
      </c>
      <c r="X41" s="224" t="str">
        <v>Y</v>
      </c>
      <c r="Y41" s="225" t="str">
        <v/>
      </c>
      <c r="Z41" s="223" t="str">
        <v/>
      </c>
      <c r="AA41" s="224" t="str">
        <v>Y</v>
      </c>
      <c r="AB41" s="225" t="str">
        <v/>
      </c>
      <c r="AC41" s="223" t="str">
        <v/>
      </c>
      <c r="AD41" s="224" t="str">
        <v>Y</v>
      </c>
      <c r="AE41" s="225" t="str">
        <v/>
      </c>
      <c r="AF41" s="223" t="str">
        <v/>
      </c>
      <c r="AG41" s="224" t="str">
        <v>Y</v>
      </c>
      <c r="AH41" s="225" t="str">
        <v/>
      </c>
      <c r="AI41" s="223" t="str">
        <v/>
      </c>
      <c r="AJ41" s="224" t="str">
        <v>Y</v>
      </c>
      <c r="AK41" s="225" t="str">
        <v/>
      </c>
      <c r="AM41" s="197" t="str">
        <v>Comp</v>
      </c>
      <c r="AN41" s="40" t="str">
        <v>Y</v>
      </c>
      <c r="AO41" s="40" t="str">
        <v>Comp</v>
      </c>
      <c r="AP41" s="40" t="str">
        <v>Y</v>
      </c>
      <c r="AQ41" s="40" t="str">
        <v>Comp</v>
      </c>
      <c r="AR41" s="40" t="str">
        <v>Y</v>
      </c>
      <c r="AS41" s="40"/>
      <c r="AT41" s="40"/>
      <c r="AU41" s="40"/>
      <c r="AV41" s="40"/>
      <c r="AW41" s="40"/>
      <c r="AX41" s="40"/>
      <c r="AY41" s="40"/>
      <c r="AZ41" s="40"/>
      <c r="BA41" s="40"/>
      <c r="BB41" s="40"/>
      <c r="BC41" s="40"/>
      <c r="BD41" s="40"/>
      <c r="BE41" s="40"/>
      <c r="BF41" s="40"/>
      <c r="BG41" s="40"/>
      <c r="BH41" s="40"/>
      <c r="BI41" s="40"/>
      <c r="BJ41" s="41"/>
    </row>
    <row r="42" spans="2:62" x14ac:dyDescent="0.35">
      <c r="B42" s="89"/>
      <c r="C42" s="88"/>
      <c r="D42" s="88"/>
      <c r="E42" s="88"/>
      <c r="F42" s="88"/>
      <c r="G42" s="88"/>
      <c r="H42" s="88"/>
      <c r="I42" s="87"/>
      <c r="M42" s="205" t="s">
        <v>63</v>
      </c>
      <c r="N42" s="223" t="str">
        <v>Comp</v>
      </c>
      <c r="O42" s="224" t="str">
        <v>Y</v>
      </c>
      <c r="P42" s="225" t="str">
        <v>Y</v>
      </c>
      <c r="Q42" s="223" t="str">
        <v>Comp</v>
      </c>
      <c r="R42" s="224" t="str">
        <v>Y</v>
      </c>
      <c r="S42" s="225" t="str">
        <v>Y</v>
      </c>
      <c r="T42" s="223" t="str">
        <v>Comp</v>
      </c>
      <c r="U42" s="224" t="str">
        <v>Y</v>
      </c>
      <c r="V42" s="225" t="str">
        <v>Y</v>
      </c>
      <c r="W42" s="223" t="str">
        <v/>
      </c>
      <c r="X42" s="224" t="str">
        <v>Y</v>
      </c>
      <c r="Y42" s="225" t="str">
        <v/>
      </c>
      <c r="Z42" s="223" t="str">
        <v/>
      </c>
      <c r="AA42" s="224" t="str">
        <v>Y</v>
      </c>
      <c r="AB42" s="225" t="str">
        <v/>
      </c>
      <c r="AC42" s="223" t="str">
        <v/>
      </c>
      <c r="AD42" s="224" t="str">
        <v>Y</v>
      </c>
      <c r="AE42" s="225" t="str">
        <v/>
      </c>
      <c r="AF42" s="223" t="str">
        <v/>
      </c>
      <c r="AG42" s="224" t="str">
        <v>Y</v>
      </c>
      <c r="AH42" s="225" t="str">
        <v/>
      </c>
      <c r="AI42" s="223" t="str">
        <v/>
      </c>
      <c r="AJ42" s="224" t="str">
        <v>Y</v>
      </c>
      <c r="AK42" s="225" t="str">
        <v/>
      </c>
      <c r="AM42" s="197" t="str">
        <v>Comp</v>
      </c>
      <c r="AN42" s="40" t="str">
        <v>Y</v>
      </c>
      <c r="AO42" s="40" t="str">
        <v>Comp</v>
      </c>
      <c r="AP42" s="40" t="str">
        <v>Y</v>
      </c>
      <c r="AQ42" s="40" t="str">
        <v>Comp</v>
      </c>
      <c r="AR42" s="40" t="str">
        <v>Y</v>
      </c>
      <c r="AS42" s="40"/>
      <c r="AT42" s="40"/>
      <c r="AU42" s="40"/>
      <c r="AV42" s="40"/>
      <c r="AW42" s="40"/>
      <c r="AX42" s="40"/>
      <c r="AY42" s="40"/>
      <c r="AZ42" s="40"/>
      <c r="BA42" s="40"/>
      <c r="BB42" s="40"/>
      <c r="BC42" s="40"/>
      <c r="BD42" s="40"/>
      <c r="BE42" s="40"/>
      <c r="BF42" s="40"/>
      <c r="BG42" s="40"/>
      <c r="BH42" s="40"/>
      <c r="BI42" s="40"/>
      <c r="BJ42" s="41"/>
    </row>
    <row r="43" spans="2:62" x14ac:dyDescent="0.35">
      <c r="B43" s="89"/>
      <c r="C43" s="88"/>
      <c r="D43" s="88"/>
      <c r="E43" s="88"/>
      <c r="F43" s="88"/>
      <c r="G43" s="88"/>
      <c r="H43" s="88"/>
      <c r="I43" s="87"/>
      <c r="M43" s="205" t="s">
        <v>65</v>
      </c>
      <c r="N43" s="223" t="str">
        <v>Comp</v>
      </c>
      <c r="O43" s="224" t="str">
        <v>Y</v>
      </c>
      <c r="P43" s="225" t="str">
        <v>Y</v>
      </c>
      <c r="Q43" s="223" t="str">
        <v>Comp</v>
      </c>
      <c r="R43" s="224" t="str">
        <v>Y</v>
      </c>
      <c r="S43" s="225" t="str">
        <v>Y</v>
      </c>
      <c r="T43" s="223" t="str">
        <v>Hi comp</v>
      </c>
      <c r="U43" s="224" t="str">
        <v>Y</v>
      </c>
      <c r="V43" s="225" t="str">
        <v/>
      </c>
      <c r="W43" s="223" t="str">
        <v/>
      </c>
      <c r="X43" s="224" t="str">
        <v>Y</v>
      </c>
      <c r="Y43" s="225" t="str">
        <v/>
      </c>
      <c r="Z43" s="223" t="str">
        <v/>
      </c>
      <c r="AA43" s="224" t="str">
        <v>Y</v>
      </c>
      <c r="AB43" s="225" t="str">
        <v/>
      </c>
      <c r="AC43" s="223" t="str">
        <v/>
      </c>
      <c r="AD43" s="224" t="str">
        <v>Y</v>
      </c>
      <c r="AE43" s="225" t="str">
        <v/>
      </c>
      <c r="AF43" s="223" t="str">
        <v/>
      </c>
      <c r="AG43" s="224" t="str">
        <v>Y</v>
      </c>
      <c r="AH43" s="225" t="str">
        <v/>
      </c>
      <c r="AI43" s="223" t="str">
        <v/>
      </c>
      <c r="AJ43" s="224" t="str">
        <v>Y</v>
      </c>
      <c r="AK43" s="225" t="str">
        <v/>
      </c>
      <c r="AM43" s="197" t="str">
        <v>Comp</v>
      </c>
      <c r="AN43" s="40" t="str">
        <v>Y</v>
      </c>
      <c r="AO43" s="40" t="str">
        <v>Comp</v>
      </c>
      <c r="AP43" s="40" t="str">
        <v>Y</v>
      </c>
      <c r="AQ43" s="40" t="str">
        <v>Hi comp</v>
      </c>
      <c r="AR43" s="40" t="str">
        <v>Y</v>
      </c>
      <c r="AS43" s="40"/>
      <c r="AT43" s="40"/>
      <c r="AU43" s="40"/>
      <c r="AV43" s="40"/>
      <c r="AW43" s="40"/>
      <c r="AX43" s="40"/>
      <c r="AY43" s="40"/>
      <c r="AZ43" s="40"/>
      <c r="BA43" s="40"/>
      <c r="BB43" s="40"/>
      <c r="BC43" s="40"/>
      <c r="BD43" s="40"/>
      <c r="BE43" s="40"/>
      <c r="BF43" s="40"/>
      <c r="BG43" s="40"/>
      <c r="BH43" s="40"/>
      <c r="BI43" s="40"/>
      <c r="BJ43" s="41"/>
    </row>
    <row r="44" spans="2:62" x14ac:dyDescent="0.35">
      <c r="B44" s="89"/>
      <c r="C44" s="88"/>
      <c r="D44" s="88"/>
      <c r="E44" s="88"/>
      <c r="F44" s="88"/>
      <c r="G44" s="88"/>
      <c r="H44" s="88"/>
      <c r="I44" s="87"/>
      <c r="M44" s="205" t="s">
        <v>67</v>
      </c>
      <c r="N44" s="223" t="str">
        <v>Comp</v>
      </c>
      <c r="O44" s="224" t="str">
        <v>Y</v>
      </c>
      <c r="P44" s="225" t="str">
        <v>Y</v>
      </c>
      <c r="Q44" s="223" t="str">
        <v>Comp</v>
      </c>
      <c r="R44" s="224" t="str">
        <v>Y</v>
      </c>
      <c r="S44" s="225" t="str">
        <v>Y</v>
      </c>
      <c r="T44" s="223" t="str">
        <v>Comp</v>
      </c>
      <c r="U44" s="224" t="str">
        <v>Y</v>
      </c>
      <c r="V44" s="225" t="str">
        <v>N</v>
      </c>
      <c r="W44" s="223" t="str">
        <v/>
      </c>
      <c r="X44" s="224" t="str">
        <v>Y</v>
      </c>
      <c r="Y44" s="225" t="str">
        <v/>
      </c>
      <c r="Z44" s="223" t="str">
        <v/>
      </c>
      <c r="AA44" s="224" t="str">
        <v>Y</v>
      </c>
      <c r="AB44" s="225" t="str">
        <v/>
      </c>
      <c r="AC44" s="223" t="str">
        <v/>
      </c>
      <c r="AD44" s="224" t="str">
        <v>Y</v>
      </c>
      <c r="AE44" s="225" t="str">
        <v/>
      </c>
      <c r="AF44" s="223" t="str">
        <v/>
      </c>
      <c r="AG44" s="224" t="str">
        <v>Y</v>
      </c>
      <c r="AH44" s="225" t="str">
        <v/>
      </c>
      <c r="AI44" s="223" t="str">
        <v/>
      </c>
      <c r="AJ44" s="224" t="str">
        <v>Y</v>
      </c>
      <c r="AK44" s="225" t="str">
        <v/>
      </c>
      <c r="AM44" s="197" t="str">
        <v>Comp</v>
      </c>
      <c r="AN44" s="40" t="str">
        <v>Y</v>
      </c>
      <c r="AO44" s="40" t="str">
        <v>Comp</v>
      </c>
      <c r="AP44" s="40" t="str">
        <v>Y</v>
      </c>
      <c r="AQ44" s="40" t="str">
        <v>Comp</v>
      </c>
      <c r="AR44" s="40" t="str">
        <v>Y</v>
      </c>
      <c r="AS44" s="40"/>
      <c r="AT44" s="40"/>
      <c r="AU44" s="40"/>
      <c r="AV44" s="40"/>
      <c r="AW44" s="40"/>
      <c r="AX44" s="40"/>
      <c r="AY44" s="40"/>
      <c r="AZ44" s="40"/>
      <c r="BA44" s="40"/>
      <c r="BB44" s="40"/>
      <c r="BC44" s="40"/>
      <c r="BD44" s="40"/>
      <c r="BE44" s="40"/>
      <c r="BF44" s="40"/>
      <c r="BG44" s="40"/>
      <c r="BH44" s="40"/>
      <c r="BI44" s="40"/>
      <c r="BJ44" s="41"/>
    </row>
    <row r="45" spans="2:62" x14ac:dyDescent="0.35">
      <c r="B45" s="89"/>
      <c r="C45" s="88"/>
      <c r="D45" s="88"/>
      <c r="E45" s="88"/>
      <c r="F45" s="88"/>
      <c r="G45" s="88"/>
      <c r="H45" s="88"/>
      <c r="I45" s="87"/>
      <c r="M45" s="205" t="s">
        <v>69</v>
      </c>
      <c r="N45" s="223" t="str">
        <v>Comp</v>
      </c>
      <c r="O45" s="224" t="str">
        <v>Y</v>
      </c>
      <c r="P45" s="225" t="str">
        <v>Y</v>
      </c>
      <c r="Q45" s="223" t="str">
        <v>Comp</v>
      </c>
      <c r="R45" s="224" t="str">
        <v>Y</v>
      </c>
      <c r="S45" s="225" t="str">
        <v>Y</v>
      </c>
      <c r="T45" s="223" t="str">
        <v>Comp</v>
      </c>
      <c r="U45" s="224" t="str">
        <v>Y</v>
      </c>
      <c r="V45" s="225" t="str">
        <v>Y</v>
      </c>
      <c r="W45" s="223" t="str">
        <v/>
      </c>
      <c r="X45" s="224" t="str">
        <v>Y</v>
      </c>
      <c r="Y45" s="225" t="str">
        <v/>
      </c>
      <c r="Z45" s="223" t="str">
        <v/>
      </c>
      <c r="AA45" s="224" t="str">
        <v>Y</v>
      </c>
      <c r="AB45" s="225" t="str">
        <v/>
      </c>
      <c r="AC45" s="223" t="str">
        <v/>
      </c>
      <c r="AD45" s="224" t="str">
        <v>Y</v>
      </c>
      <c r="AE45" s="225" t="str">
        <v/>
      </c>
      <c r="AF45" s="223" t="str">
        <v/>
      </c>
      <c r="AG45" s="224" t="str">
        <v>Y</v>
      </c>
      <c r="AH45" s="225" t="str">
        <v/>
      </c>
      <c r="AI45" s="223" t="str">
        <v/>
      </c>
      <c r="AJ45" s="224" t="str">
        <v>Y</v>
      </c>
      <c r="AK45" s="225" t="str">
        <v/>
      </c>
      <c r="AM45" s="197" t="str">
        <v>Comp</v>
      </c>
      <c r="AN45" s="40" t="str">
        <v>Y</v>
      </c>
      <c r="AO45" s="40" t="str">
        <v>Comp</v>
      </c>
      <c r="AP45" s="40" t="str">
        <v>Y</v>
      </c>
      <c r="AQ45" s="40" t="str">
        <v>Comp</v>
      </c>
      <c r="AR45" s="40" t="str">
        <v>Y</v>
      </c>
      <c r="AS45" s="40"/>
      <c r="AT45" s="40"/>
      <c r="AU45" s="40"/>
      <c r="AV45" s="40"/>
      <c r="AW45" s="40"/>
      <c r="AX45" s="40"/>
      <c r="AY45" s="40"/>
      <c r="AZ45" s="40"/>
      <c r="BA45" s="40"/>
      <c r="BB45" s="40"/>
      <c r="BC45" s="40"/>
      <c r="BD45" s="40"/>
      <c r="BE45" s="40"/>
      <c r="BF45" s="40"/>
      <c r="BG45" s="40"/>
      <c r="BH45" s="40"/>
      <c r="BI45" s="40"/>
      <c r="BJ45" s="41"/>
    </row>
    <row r="46" spans="2:62" x14ac:dyDescent="0.35">
      <c r="B46" s="89"/>
      <c r="C46" s="88"/>
      <c r="D46" s="88"/>
      <c r="E46" s="88"/>
      <c r="F46" s="88"/>
      <c r="G46" s="88"/>
      <c r="H46" s="88"/>
      <c r="I46" s="87"/>
      <c r="M46" s="205" t="s">
        <v>71</v>
      </c>
      <c r="N46" s="223" t="str">
        <v>Hi comp</v>
      </c>
      <c r="O46" s="224" t="str">
        <v>Y</v>
      </c>
      <c r="P46" s="225" t="str">
        <v/>
      </c>
      <c r="Q46" s="223" t="str">
        <v>Hi comp</v>
      </c>
      <c r="R46" s="224" t="str">
        <v>Y</v>
      </c>
      <c r="S46" s="225" t="str">
        <v/>
      </c>
      <c r="T46" s="223" t="str">
        <v>Comp</v>
      </c>
      <c r="U46" s="224" t="str">
        <v>Y</v>
      </c>
      <c r="V46" s="225" t="str">
        <v>N</v>
      </c>
      <c r="W46" s="223" t="str">
        <v/>
      </c>
      <c r="X46" s="224" t="str">
        <v>Y</v>
      </c>
      <c r="Y46" s="225" t="str">
        <v/>
      </c>
      <c r="Z46" s="223" t="str">
        <v/>
      </c>
      <c r="AA46" s="224" t="str">
        <v>Y</v>
      </c>
      <c r="AB46" s="225" t="str">
        <v/>
      </c>
      <c r="AC46" s="223" t="str">
        <v/>
      </c>
      <c r="AD46" s="224" t="str">
        <v>Y</v>
      </c>
      <c r="AE46" s="225" t="str">
        <v/>
      </c>
      <c r="AF46" s="223" t="str">
        <v/>
      </c>
      <c r="AG46" s="224" t="str">
        <v>Y</v>
      </c>
      <c r="AH46" s="225" t="str">
        <v/>
      </c>
      <c r="AI46" s="223" t="str">
        <v/>
      </c>
      <c r="AJ46" s="224" t="str">
        <v>Y</v>
      </c>
      <c r="AK46" s="225" t="str">
        <v/>
      </c>
      <c r="AM46" s="197" t="str">
        <v>Hi comp</v>
      </c>
      <c r="AN46" s="40" t="str">
        <v>Y</v>
      </c>
      <c r="AO46" s="40" t="str">
        <v>Hi comp</v>
      </c>
      <c r="AP46" s="40" t="str">
        <v>Y</v>
      </c>
      <c r="AQ46" s="40" t="str">
        <v>Comp</v>
      </c>
      <c r="AR46" s="40" t="str">
        <v>Y</v>
      </c>
      <c r="AS46" s="40"/>
      <c r="AT46" s="40"/>
      <c r="AU46" s="40"/>
      <c r="AV46" s="40"/>
      <c r="AW46" s="40"/>
      <c r="AX46" s="40"/>
      <c r="AY46" s="40"/>
      <c r="AZ46" s="40"/>
      <c r="BA46" s="40"/>
      <c r="BB46" s="40"/>
      <c r="BC46" s="40"/>
      <c r="BD46" s="40"/>
      <c r="BE46" s="40"/>
      <c r="BF46" s="40"/>
      <c r="BG46" s="40"/>
      <c r="BH46" s="40"/>
      <c r="BI46" s="40"/>
      <c r="BJ46" s="41"/>
    </row>
    <row r="47" spans="2:62" x14ac:dyDescent="0.35">
      <c r="B47" s="89"/>
      <c r="C47" s="88"/>
      <c r="D47" s="88"/>
      <c r="E47" s="88"/>
      <c r="F47" s="88"/>
      <c r="G47" s="88"/>
      <c r="H47" s="88"/>
      <c r="I47" s="87"/>
      <c r="M47" s="205" t="s">
        <v>73</v>
      </c>
      <c r="N47" s="223" t="str">
        <v>Comp</v>
      </c>
      <c r="O47" s="224" t="str">
        <v>Y</v>
      </c>
      <c r="P47" s="225" t="str">
        <v>Y</v>
      </c>
      <c r="Q47" s="223" t="str">
        <v>Comp</v>
      </c>
      <c r="R47" s="224" t="str">
        <v>Y</v>
      </c>
      <c r="S47" s="225" t="str">
        <v>Y</v>
      </c>
      <c r="T47" s="223" t="str">
        <v>Comp</v>
      </c>
      <c r="U47" s="224" t="str">
        <v>Y</v>
      </c>
      <c r="V47" s="225" t="str">
        <v>Y</v>
      </c>
      <c r="W47" s="223" t="str">
        <v/>
      </c>
      <c r="X47" s="224" t="str">
        <v>Y</v>
      </c>
      <c r="Y47" s="225" t="str">
        <v/>
      </c>
      <c r="Z47" s="223" t="str">
        <v/>
      </c>
      <c r="AA47" s="224" t="str">
        <v>Y</v>
      </c>
      <c r="AB47" s="225" t="str">
        <v/>
      </c>
      <c r="AC47" s="223" t="str">
        <v/>
      </c>
      <c r="AD47" s="224" t="str">
        <v>Y</v>
      </c>
      <c r="AE47" s="225" t="str">
        <v/>
      </c>
      <c r="AF47" s="223" t="str">
        <v/>
      </c>
      <c r="AG47" s="224" t="str">
        <v>Y</v>
      </c>
      <c r="AH47" s="225" t="str">
        <v/>
      </c>
      <c r="AI47" s="223" t="str">
        <v/>
      </c>
      <c r="AJ47" s="224" t="str">
        <v>Y</v>
      </c>
      <c r="AK47" s="225" t="str">
        <v/>
      </c>
      <c r="AM47" s="197" t="str">
        <v>Comp</v>
      </c>
      <c r="AN47" s="40" t="str">
        <v>Y</v>
      </c>
      <c r="AO47" s="40" t="str">
        <v>Comp</v>
      </c>
      <c r="AP47" s="40" t="str">
        <v>Y</v>
      </c>
      <c r="AQ47" s="40" t="str">
        <v>Comp</v>
      </c>
      <c r="AR47" s="40" t="str">
        <v>Y</v>
      </c>
      <c r="AS47" s="40"/>
      <c r="AT47" s="40"/>
      <c r="AU47" s="40"/>
      <c r="AV47" s="40"/>
      <c r="AW47" s="40"/>
      <c r="AX47" s="40"/>
      <c r="AY47" s="40"/>
      <c r="AZ47" s="40"/>
      <c r="BA47" s="40"/>
      <c r="BB47" s="40"/>
      <c r="BC47" s="40"/>
      <c r="BD47" s="40"/>
      <c r="BE47" s="40"/>
      <c r="BF47" s="40"/>
      <c r="BG47" s="40"/>
      <c r="BH47" s="40"/>
      <c r="BI47" s="40"/>
      <c r="BJ47" s="41"/>
    </row>
    <row r="48" spans="2:62" x14ac:dyDescent="0.35">
      <c r="B48" s="84"/>
      <c r="C48" s="83"/>
      <c r="D48" s="83"/>
      <c r="E48" s="83"/>
      <c r="F48" s="83"/>
      <c r="G48" s="83"/>
      <c r="H48" s="83"/>
      <c r="I48" s="82"/>
      <c r="M48" s="206" t="s">
        <v>75</v>
      </c>
      <c r="N48" s="229" t="str">
        <v>Min comp</v>
      </c>
      <c r="O48" s="230" t="str">
        <v>N</v>
      </c>
      <c r="P48" s="231" t="str">
        <v>N</v>
      </c>
      <c r="Q48" s="229" t="str">
        <v>Min comp</v>
      </c>
      <c r="R48" s="230" t="str">
        <v>N</v>
      </c>
      <c r="S48" s="231" t="str">
        <v>N</v>
      </c>
      <c r="T48" s="229" t="str">
        <v>Min comp</v>
      </c>
      <c r="U48" s="230" t="str">
        <v>N</v>
      </c>
      <c r="V48" s="231" t="str">
        <v>N</v>
      </c>
      <c r="W48" s="229" t="str">
        <v/>
      </c>
      <c r="X48" s="230" t="str">
        <v>N</v>
      </c>
      <c r="Y48" s="231" t="str">
        <v/>
      </c>
      <c r="Z48" s="229" t="str">
        <v/>
      </c>
      <c r="AA48" s="230" t="str">
        <v>N</v>
      </c>
      <c r="AB48" s="231" t="str">
        <v/>
      </c>
      <c r="AC48" s="229" t="str">
        <v/>
      </c>
      <c r="AD48" s="230" t="str">
        <v>N</v>
      </c>
      <c r="AE48" s="231" t="str">
        <v/>
      </c>
      <c r="AF48" s="229" t="str">
        <v/>
      </c>
      <c r="AG48" s="230" t="str">
        <v>N</v>
      </c>
      <c r="AH48" s="231" t="str">
        <v/>
      </c>
      <c r="AI48" s="229" t="str">
        <v/>
      </c>
      <c r="AJ48" s="230" t="str">
        <v>N</v>
      </c>
      <c r="AK48" s="231" t="str">
        <v/>
      </c>
      <c r="AM48" s="198" t="str">
        <v>Min comp</v>
      </c>
      <c r="AN48" s="199" t="str">
        <v>N</v>
      </c>
      <c r="AO48" s="199" t="str">
        <v>Min comp</v>
      </c>
      <c r="AP48" s="199" t="str">
        <v>N</v>
      </c>
      <c r="AQ48" s="199" t="str">
        <v>Min comp</v>
      </c>
      <c r="AR48" s="199" t="str">
        <v>N</v>
      </c>
      <c r="AS48" s="199"/>
      <c r="AT48" s="199"/>
      <c r="AU48" s="199"/>
      <c r="AV48" s="199"/>
      <c r="AW48" s="199"/>
      <c r="AX48" s="199"/>
      <c r="AY48" s="199"/>
      <c r="AZ48" s="199"/>
      <c r="BA48" s="199"/>
      <c r="BB48" s="199"/>
      <c r="BC48" s="199"/>
      <c r="BD48" s="199"/>
      <c r="BE48" s="199"/>
      <c r="BF48" s="199"/>
      <c r="BG48" s="199"/>
      <c r="BH48" s="199"/>
      <c r="BI48" s="199"/>
      <c r="BJ48" s="200"/>
    </row>
    <row r="49" spans="1:9" x14ac:dyDescent="0.35">
      <c r="I49" s="44"/>
    </row>
    <row r="50" spans="1:9" ht="15" thickBot="1" x14ac:dyDescent="0.4">
      <c r="A50" s="282" t="s">
        <v>177</v>
      </c>
      <c r="I50" s="44"/>
    </row>
    <row r="51" spans="1:9" ht="15" thickBot="1" x14ac:dyDescent="0.4">
      <c r="A51" s="279" t="str">
        <f>$B$51&amp;" Ratings"</f>
        <v>All Ratings</v>
      </c>
      <c r="B51" s="281" t="str">
        <f>IF(LEFT('Data Summary'!A4)="E","Essential","All")</f>
        <v>All</v>
      </c>
    </row>
    <row r="52" spans="1:9" x14ac:dyDescent="0.35">
      <c r="A52" s="246" t="s">
        <v>78</v>
      </c>
      <c r="B52" s="280" t="s">
        <v>154</v>
      </c>
      <c r="C52" s="173" t="s">
        <v>155</v>
      </c>
      <c r="D52" s="173" t="s">
        <v>156</v>
      </c>
      <c r="E52" s="173" t="s">
        <v>157</v>
      </c>
      <c r="F52" s="173" t="s">
        <v>158</v>
      </c>
      <c r="G52" s="173" t="s">
        <v>159</v>
      </c>
      <c r="H52" s="173" t="s">
        <v>160</v>
      </c>
      <c r="I52" s="174" t="s">
        <v>161</v>
      </c>
    </row>
    <row r="53" spans="1:9" x14ac:dyDescent="0.35">
      <c r="A53" s="247" t="s">
        <v>125</v>
      </c>
      <c r="B53" s="12" cm="1">
        <f t="array" ref="B53:B55">IF($B$51="All",_xlfn.ANCHORARRAY('SA1'!$D$45),_xlfn.ANCHORARRAY('SA1'!$E$45))</f>
        <v>8</v>
      </c>
      <c r="C53" s="175" cm="1">
        <f t="array" ref="C53:C55">IF($B$51="All",_xlfn.ANCHORARRAY('SA2'!$D$45),_xlfn.ANCHORARRAY('SA2'!$E$45))</f>
        <v>2</v>
      </c>
      <c r="D53" s="175" cm="1">
        <f t="array" ref="D53:D55">IF($B$51="All",_xlfn.ANCHORARRAY('SA3'!$D$45),_xlfn.ANCHORARRAY('SA3'!$E$45))</f>
        <v>2</v>
      </c>
      <c r="E53" s="175" cm="1">
        <f t="array" ref="E53:E55">IF($B$51="All",_xlfn.ANCHORARRAY('SA4'!$D$45),_xlfn.ANCHORARRAY('SA4'!$E$45))</f>
        <v>0</v>
      </c>
      <c r="F53" s="175" cm="1">
        <f t="array" ref="F53:F55">IF($B$51="All",_xlfn.ANCHORARRAY('SA5'!$D$45),_xlfn.ANCHORARRAY('SA5'!$E$45))</f>
        <v>0</v>
      </c>
      <c r="G53" s="175" cm="1">
        <f t="array" ref="G53:G55">IF($B$51="All",_xlfn.ANCHORARRAY('SA6'!$D$45),_xlfn.ANCHORARRAY('SA6'!$E$45))</f>
        <v>0</v>
      </c>
      <c r="H53" s="175" cm="1">
        <f t="array" ref="H53:H55">IF($B$51="All",_xlfn.ANCHORARRAY('SA7'!$D$45),_xlfn.ANCHORARRAY('SA7'!$E$45))</f>
        <v>0</v>
      </c>
      <c r="I53" s="176" cm="1">
        <f t="array" ref="I53:I55">IF($B$51="All",_xlfn.ANCHORARRAY('SA8'!$D$45),_xlfn.ANCHORARRAY('SA8'!$E$45))</f>
        <v>0</v>
      </c>
    </row>
    <row r="54" spans="1:9" x14ac:dyDescent="0.35">
      <c r="A54" s="248" t="s">
        <v>126</v>
      </c>
      <c r="B54" s="13">
        <v>17</v>
      </c>
      <c r="C54" s="177">
        <v>21</v>
      </c>
      <c r="D54" s="177">
        <v>16</v>
      </c>
      <c r="E54" s="177">
        <v>0</v>
      </c>
      <c r="F54" s="177">
        <v>0</v>
      </c>
      <c r="G54" s="177">
        <v>0</v>
      </c>
      <c r="H54" s="177">
        <v>0</v>
      </c>
      <c r="I54" s="178">
        <v>0</v>
      </c>
    </row>
    <row r="55" spans="1:9" x14ac:dyDescent="0.35">
      <c r="A55" s="249" t="s">
        <v>127</v>
      </c>
      <c r="B55" s="14">
        <v>11</v>
      </c>
      <c r="C55" s="179">
        <v>13</v>
      </c>
      <c r="D55" s="179">
        <v>18</v>
      </c>
      <c r="E55" s="179">
        <v>0</v>
      </c>
      <c r="F55" s="179">
        <v>0</v>
      </c>
      <c r="G55" s="179">
        <v>0</v>
      </c>
      <c r="H55" s="179">
        <v>0</v>
      </c>
      <c r="I55" s="180">
        <v>0</v>
      </c>
    </row>
    <row r="56" spans="1:9" x14ac:dyDescent="0.35">
      <c r="A56" s="250"/>
      <c r="B56" s="15"/>
      <c r="C56" s="15"/>
      <c r="D56" s="15"/>
      <c r="E56" s="15"/>
      <c r="F56" s="15"/>
      <c r="G56" s="15"/>
      <c r="H56" s="15"/>
      <c r="I56" s="15"/>
    </row>
    <row r="57" spans="1:9" x14ac:dyDescent="0.35">
      <c r="A57" s="251" t="s">
        <v>81</v>
      </c>
      <c r="B57" s="16" t="str">
        <f t="shared" ref="B57:I57" si="3">B52</f>
        <v>SA1</v>
      </c>
      <c r="C57" s="181" t="str">
        <f t="shared" si="3"/>
        <v>SA2</v>
      </c>
      <c r="D57" s="181" t="str">
        <f t="shared" si="3"/>
        <v>SA3</v>
      </c>
      <c r="E57" s="181" t="str">
        <f t="shared" si="3"/>
        <v>SA4</v>
      </c>
      <c r="F57" s="181" t="str">
        <f t="shared" si="3"/>
        <v>SA5</v>
      </c>
      <c r="G57" s="181" t="str">
        <f t="shared" si="3"/>
        <v>SA6</v>
      </c>
      <c r="H57" s="181" t="str">
        <f t="shared" si="3"/>
        <v>SA7</v>
      </c>
      <c r="I57" s="182" t="str">
        <f t="shared" si="3"/>
        <v>SA8</v>
      </c>
    </row>
    <row r="58" spans="1:9" x14ac:dyDescent="0.35">
      <c r="A58" s="247" t="s">
        <v>125</v>
      </c>
      <c r="B58" s="12" cm="1">
        <f t="array" ref="B58:B60">IF($B$51="All",_xlfn.ANCHORARRAY('SA1'!$D$50),_xlfn.ANCHORARRAY('SA1'!$E$50))</f>
        <v>3</v>
      </c>
      <c r="C58" s="175" cm="1">
        <f t="array" ref="C58:C60">IF($B$51="All",_xlfn.ANCHORARRAY('SA2'!$D$50),_xlfn.ANCHORARRAY('SA2'!$E$50))</f>
        <v>0</v>
      </c>
      <c r="D58" s="175" cm="1">
        <f t="array" ref="D58:D60">IF($B$51="All",_xlfn.ANCHORARRAY('SA3'!$D$50),_xlfn.ANCHORARRAY('SA3'!$E$50))</f>
        <v>0</v>
      </c>
      <c r="E58" s="175" cm="1">
        <f t="array" ref="E58:E60">IF($B$51="All",_xlfn.ANCHORARRAY('SA4'!$D$50),_xlfn.ANCHORARRAY('SA4'!$E$50))</f>
        <v>0</v>
      </c>
      <c r="F58" s="175" cm="1">
        <f t="array" ref="F58:F60">IF($B$51="All",_xlfn.ANCHORARRAY('SA5'!$D$50),_xlfn.ANCHORARRAY('SA5'!$E$50))</f>
        <v>0</v>
      </c>
      <c r="G58" s="175" cm="1">
        <f t="array" ref="G58:G60">IF($B$51="All",_xlfn.ANCHORARRAY('SA6'!$D$50),_xlfn.ANCHORARRAY('SA6'!$E$50))</f>
        <v>0</v>
      </c>
      <c r="H58" s="175" cm="1">
        <f t="array" ref="H58:H60">IF($B$51="All",_xlfn.ANCHORARRAY('SA7'!$D$50),_xlfn.ANCHORARRAY('SA7'!$E$50))</f>
        <v>0</v>
      </c>
      <c r="I58" s="176" cm="1">
        <f t="array" ref="I58:I60">IF($B$51="All",_xlfn.ANCHORARRAY('SA8'!$D$50),_xlfn.ANCHORARRAY('SA8'!$E$50))</f>
        <v>0</v>
      </c>
    </row>
    <row r="59" spans="1:9" x14ac:dyDescent="0.35">
      <c r="A59" s="248" t="s">
        <v>126</v>
      </c>
      <c r="B59" s="13">
        <v>4</v>
      </c>
      <c r="C59" s="177">
        <v>7</v>
      </c>
      <c r="D59" s="177">
        <v>5</v>
      </c>
      <c r="E59" s="177">
        <v>0</v>
      </c>
      <c r="F59" s="177">
        <v>0</v>
      </c>
      <c r="G59" s="177">
        <v>0</v>
      </c>
      <c r="H59" s="177">
        <v>0</v>
      </c>
      <c r="I59" s="178">
        <v>0</v>
      </c>
    </row>
    <row r="60" spans="1:9" x14ac:dyDescent="0.35">
      <c r="A60" s="249" t="s">
        <v>127</v>
      </c>
      <c r="B60" s="14">
        <v>3</v>
      </c>
      <c r="C60" s="179">
        <v>3</v>
      </c>
      <c r="D60" s="179">
        <v>5</v>
      </c>
      <c r="E60" s="179">
        <v>0</v>
      </c>
      <c r="F60" s="179">
        <v>0</v>
      </c>
      <c r="G60" s="179">
        <v>0</v>
      </c>
      <c r="H60" s="179">
        <v>0</v>
      </c>
      <c r="I60" s="180">
        <v>0</v>
      </c>
    </row>
    <row r="61" spans="1:9" x14ac:dyDescent="0.35">
      <c r="A61" s="250"/>
      <c r="B61" s="15"/>
      <c r="C61" s="15"/>
      <c r="D61" s="15"/>
      <c r="E61" s="15"/>
      <c r="F61" s="15"/>
      <c r="G61" s="15"/>
      <c r="H61" s="15"/>
      <c r="I61" s="15"/>
    </row>
    <row r="62" spans="1:9" x14ac:dyDescent="0.35">
      <c r="A62" s="252" t="s">
        <v>82</v>
      </c>
      <c r="B62" s="185" t="str">
        <f t="shared" ref="B62:I62" si="4">B52</f>
        <v>SA1</v>
      </c>
      <c r="C62" s="186" t="str">
        <f t="shared" si="4"/>
        <v>SA2</v>
      </c>
      <c r="D62" s="186" t="str">
        <f t="shared" si="4"/>
        <v>SA3</v>
      </c>
      <c r="E62" s="186" t="str">
        <f t="shared" si="4"/>
        <v>SA4</v>
      </c>
      <c r="F62" s="186" t="str">
        <f t="shared" si="4"/>
        <v>SA5</v>
      </c>
      <c r="G62" s="186" t="str">
        <f t="shared" si="4"/>
        <v>SA6</v>
      </c>
      <c r="H62" s="186" t="str">
        <f t="shared" si="4"/>
        <v>SA7</v>
      </c>
      <c r="I62" s="187" t="str">
        <f t="shared" si="4"/>
        <v>SA8</v>
      </c>
    </row>
    <row r="63" spans="1:9" x14ac:dyDescent="0.35">
      <c r="A63" s="247" t="s">
        <v>125</v>
      </c>
      <c r="B63" s="19" cm="1">
        <f t="array" ref="B63:B65">IF($B$51="All",_xlfn.ANCHORARRAY('SA1'!$D$55),_xlfn.ANCHORARRAY('SA1'!$E$55))</f>
        <v>3</v>
      </c>
      <c r="C63" s="183" cm="1">
        <f t="array" ref="C63:C65">IF($B$51="All",_xlfn.ANCHORARRAY('SA2'!$D$55),_xlfn.ANCHORARRAY('SA2'!$E$55))</f>
        <v>1</v>
      </c>
      <c r="D63" s="183" cm="1">
        <f t="array" ref="D63:D65">IF($B$51="All",_xlfn.ANCHORARRAY('SA3'!$D$55),_xlfn.ANCHORARRAY('SA3'!$E$55))</f>
        <v>1</v>
      </c>
      <c r="E63" s="183" cm="1">
        <f t="array" ref="E63:E65">IF($B$51="All",_xlfn.ANCHORARRAY('SA4'!$D$55),_xlfn.ANCHORARRAY('SA4'!$E$55))</f>
        <v>0</v>
      </c>
      <c r="F63" s="183" cm="1">
        <f t="array" ref="F63:F65">IF($B$51="All",_xlfn.ANCHORARRAY('SA5'!$D$55),_xlfn.ANCHORARRAY('SA5'!$E$55))</f>
        <v>0</v>
      </c>
      <c r="G63" s="183" cm="1">
        <f t="array" ref="G63:G65">IF($B$51="All",_xlfn.ANCHORARRAY('SA6'!$D$55),_xlfn.ANCHORARRAY('SA6'!$E$55))</f>
        <v>0</v>
      </c>
      <c r="H63" s="183" cm="1">
        <f t="array" ref="H63:H65">IF($B$51="All",_xlfn.ANCHORARRAY('SA7'!$D$55),_xlfn.ANCHORARRAY('SA7'!$E$55))</f>
        <v>0</v>
      </c>
      <c r="I63" s="184" cm="1">
        <f t="array" ref="I63:I65">IF($B$51="All",_xlfn.ANCHORARRAY('SA8'!$D$55),_xlfn.ANCHORARRAY('SA8'!$E$55))</f>
        <v>0</v>
      </c>
    </row>
    <row r="64" spans="1:9" x14ac:dyDescent="0.35">
      <c r="A64" s="248" t="s">
        <v>126</v>
      </c>
      <c r="B64" s="13">
        <v>4</v>
      </c>
      <c r="C64" s="177">
        <v>5</v>
      </c>
      <c r="D64" s="177">
        <v>3</v>
      </c>
      <c r="E64" s="177">
        <v>0</v>
      </c>
      <c r="F64" s="177">
        <v>0</v>
      </c>
      <c r="G64" s="177">
        <v>0</v>
      </c>
      <c r="H64" s="177">
        <v>0</v>
      </c>
      <c r="I64" s="178">
        <v>0</v>
      </c>
    </row>
    <row r="65" spans="1:9" x14ac:dyDescent="0.35">
      <c r="A65" s="249" t="s">
        <v>127</v>
      </c>
      <c r="B65" s="14">
        <v>6</v>
      </c>
      <c r="C65" s="179">
        <v>7</v>
      </c>
      <c r="D65" s="179">
        <v>9</v>
      </c>
      <c r="E65" s="179">
        <v>0</v>
      </c>
      <c r="F65" s="179">
        <v>0</v>
      </c>
      <c r="G65" s="179">
        <v>0</v>
      </c>
      <c r="H65" s="179">
        <v>0</v>
      </c>
      <c r="I65" s="180">
        <v>0</v>
      </c>
    </row>
    <row r="66" spans="1:9" x14ac:dyDescent="0.35">
      <c r="A66" s="250"/>
      <c r="B66" s="15"/>
      <c r="C66" s="15"/>
      <c r="D66" s="15"/>
      <c r="E66" s="15"/>
      <c r="F66" s="15"/>
      <c r="G66" s="15"/>
      <c r="H66" s="15"/>
      <c r="I66" s="15"/>
    </row>
    <row r="67" spans="1:9" x14ac:dyDescent="0.35">
      <c r="A67" s="253" t="s">
        <v>83</v>
      </c>
      <c r="B67" s="188" t="str">
        <f t="shared" ref="B67:I67" si="5">B52</f>
        <v>SA1</v>
      </c>
      <c r="C67" s="189" t="str">
        <f t="shared" si="5"/>
        <v>SA2</v>
      </c>
      <c r="D67" s="189" t="str">
        <f t="shared" si="5"/>
        <v>SA3</v>
      </c>
      <c r="E67" s="189" t="str">
        <f t="shared" si="5"/>
        <v>SA4</v>
      </c>
      <c r="F67" s="189" t="str">
        <f t="shared" si="5"/>
        <v>SA5</v>
      </c>
      <c r="G67" s="189" t="str">
        <f t="shared" si="5"/>
        <v>SA6</v>
      </c>
      <c r="H67" s="189" t="str">
        <f t="shared" si="5"/>
        <v>SA7</v>
      </c>
      <c r="I67" s="190" t="str">
        <f t="shared" si="5"/>
        <v>SA8</v>
      </c>
    </row>
    <row r="68" spans="1:9" x14ac:dyDescent="0.35">
      <c r="A68" s="247" t="s">
        <v>125</v>
      </c>
      <c r="B68" s="12" cm="1">
        <f t="array" ref="B68:B70">IF($B$51="All",_xlfn.ANCHORARRAY('SA1'!$D$60),_xlfn.ANCHORARRAY('SA1'!$E$60))</f>
        <v>2</v>
      </c>
      <c r="C68" s="175" cm="1">
        <f t="array" ref="C68:C70">IF($B$51="All",_xlfn.ANCHORARRAY('SA2'!$D$60),_xlfn.ANCHORARRAY('SA2'!$E$60))</f>
        <v>1</v>
      </c>
      <c r="D68" s="175" cm="1">
        <f t="array" ref="D68:D70">IF($B$51="All",_xlfn.ANCHORARRAY('SA3'!$D$60),_xlfn.ANCHORARRAY('SA3'!$E$60))</f>
        <v>1</v>
      </c>
      <c r="E68" s="175" cm="1">
        <f t="array" ref="E68:E70">IF($B$51="All",_xlfn.ANCHORARRAY('SA4'!$D$60),_xlfn.ANCHORARRAY('SA4'!$E$60))</f>
        <v>0</v>
      </c>
      <c r="F68" s="175" cm="1">
        <f t="array" ref="F68:F70">IF($B$51="All",_xlfn.ANCHORARRAY('SA5'!$D$60),_xlfn.ANCHORARRAY('SA5'!$E$60))</f>
        <v>0</v>
      </c>
      <c r="G68" s="175" cm="1">
        <f t="array" ref="G68:G70">IF($B$51="All",_xlfn.ANCHORARRAY('SA6'!$D$60),_xlfn.ANCHORARRAY('SA6'!$E$60))</f>
        <v>0</v>
      </c>
      <c r="H68" s="175" cm="1">
        <f t="array" ref="H68:H70">IF($B$51="All",_xlfn.ANCHORARRAY('SA7'!$D$60),_xlfn.ANCHORARRAY('SA7'!$E$60))</f>
        <v>0</v>
      </c>
      <c r="I68" s="176" cm="1">
        <f t="array" ref="I68:I70">IF($B$51="All",_xlfn.ANCHORARRAY('SA8'!$D$60),_xlfn.ANCHORARRAY('SA8'!$E$60))</f>
        <v>0</v>
      </c>
    </row>
    <row r="69" spans="1:9" x14ac:dyDescent="0.35">
      <c r="A69" s="248" t="s">
        <v>126</v>
      </c>
      <c r="B69" s="13">
        <v>9</v>
      </c>
      <c r="C69" s="177">
        <v>9</v>
      </c>
      <c r="D69" s="177">
        <v>8</v>
      </c>
      <c r="E69" s="177">
        <v>0</v>
      </c>
      <c r="F69" s="177">
        <v>0</v>
      </c>
      <c r="G69" s="177">
        <v>0</v>
      </c>
      <c r="H69" s="177">
        <v>0</v>
      </c>
      <c r="I69" s="178">
        <v>0</v>
      </c>
    </row>
    <row r="70" spans="1:9" x14ac:dyDescent="0.35">
      <c r="A70" s="249" t="s">
        <v>127</v>
      </c>
      <c r="B70" s="14">
        <v>2</v>
      </c>
      <c r="C70" s="179">
        <v>3</v>
      </c>
      <c r="D70" s="179">
        <v>4</v>
      </c>
      <c r="E70" s="179">
        <v>0</v>
      </c>
      <c r="F70" s="179">
        <v>0</v>
      </c>
      <c r="G70" s="179">
        <v>0</v>
      </c>
      <c r="H70" s="179">
        <v>0</v>
      </c>
      <c r="I70" s="180">
        <v>0</v>
      </c>
    </row>
    <row r="71" spans="1:9" x14ac:dyDescent="0.35">
      <c r="I71" s="44"/>
    </row>
    <row r="72" spans="1:9" x14ac:dyDescent="0.35">
      <c r="I72" s="44"/>
    </row>
    <row r="73" spans="1:9" x14ac:dyDescent="0.35">
      <c r="I73" s="44"/>
    </row>
    <row r="74" spans="1:9" x14ac:dyDescent="0.35">
      <c r="I74" s="44"/>
    </row>
    <row r="75" spans="1:9" x14ac:dyDescent="0.35">
      <c r="I75" s="44"/>
    </row>
    <row r="76" spans="1:9" x14ac:dyDescent="0.35">
      <c r="I76" s="44"/>
    </row>
    <row r="77" spans="1:9" x14ac:dyDescent="0.35">
      <c r="I77" s="44"/>
    </row>
    <row r="78" spans="1:9" x14ac:dyDescent="0.35">
      <c r="I78" s="44"/>
    </row>
    <row r="79" spans="1:9" x14ac:dyDescent="0.35">
      <c r="I79" s="44"/>
    </row>
    <row r="80" spans="1:9" x14ac:dyDescent="0.35">
      <c r="I80" s="44"/>
    </row>
    <row r="81" spans="9:9" x14ac:dyDescent="0.35">
      <c r="I81" s="44"/>
    </row>
    <row r="82" spans="9:9" x14ac:dyDescent="0.35">
      <c r="I82" s="44"/>
    </row>
    <row r="83" spans="9:9" x14ac:dyDescent="0.35">
      <c r="I83" s="44"/>
    </row>
    <row r="84" spans="9:9" x14ac:dyDescent="0.35">
      <c r="I84" s="44"/>
    </row>
    <row r="85" spans="9:9" x14ac:dyDescent="0.35">
      <c r="I85" s="44"/>
    </row>
    <row r="86" spans="9:9" x14ac:dyDescent="0.35">
      <c r="I86" s="44"/>
    </row>
    <row r="87" spans="9:9" x14ac:dyDescent="0.35">
      <c r="I87" s="44"/>
    </row>
  </sheetData>
  <phoneticPr fontId="15" type="noConversion"/>
  <conditionalFormatting sqref="B53:I70">
    <cfRule type="expression" dxfId="3" priority="1">
      <formula>B53=0</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6ACBE-3103-46D8-A03F-E6DD4EB4ED8F}">
  <sheetPr>
    <tabColor rgb="FFFFF2CC"/>
    <pageSetUpPr fitToPage="1"/>
  </sheetPr>
  <dimension ref="A1:C70"/>
  <sheetViews>
    <sheetView showGridLines="0" zoomScaleNormal="100" workbookViewId="0">
      <pane ySplit="3" topLeftCell="A4" activePane="bottomLeft" state="frozen"/>
      <selection pane="bottomLeft"/>
    </sheetView>
  </sheetViews>
  <sheetFormatPr defaultRowHeight="15.5" zeroHeight="1" x14ac:dyDescent="0.35"/>
  <cols>
    <col min="1" max="1" width="89.90625" style="336" customWidth="1"/>
    <col min="2" max="2" width="3.1796875" style="130" customWidth="1"/>
    <col min="3" max="16384" width="8.7265625" style="336"/>
  </cols>
  <sheetData>
    <row r="1" spans="1:3" x14ac:dyDescent="0.35">
      <c r="A1" s="155" t="s">
        <v>252</v>
      </c>
    </row>
    <row r="2" spans="1:3" ht="18" x14ac:dyDescent="0.4">
      <c r="A2" s="137" t="s">
        <v>265</v>
      </c>
    </row>
    <row r="3" spans="1:3" x14ac:dyDescent="0.35">
      <c r="A3" s="328" t="s">
        <v>201</v>
      </c>
      <c r="B3" s="131"/>
    </row>
    <row r="4" spans="1:3" ht="32" thickBot="1" x14ac:dyDescent="0.45">
      <c r="A4" s="135" t="s">
        <v>202</v>
      </c>
      <c r="B4" s="131" t="s">
        <v>131</v>
      </c>
    </row>
    <row r="5" spans="1:3" ht="16" thickTop="1" x14ac:dyDescent="0.35">
      <c r="A5" s="329" t="s">
        <v>254</v>
      </c>
      <c r="B5" s="131"/>
    </row>
    <row r="6" spans="1:3" x14ac:dyDescent="0.35">
      <c r="A6" s="346" t="s">
        <v>203</v>
      </c>
      <c r="B6" s="131"/>
    </row>
    <row r="7" spans="1:3" ht="31" x14ac:dyDescent="0.35">
      <c r="A7" s="347" t="s">
        <v>250</v>
      </c>
      <c r="B7" s="131" t="s">
        <v>131</v>
      </c>
    </row>
    <row r="8" spans="1:3" x14ac:dyDescent="0.35">
      <c r="A8" s="346" t="s">
        <v>204</v>
      </c>
      <c r="B8" s="131"/>
    </row>
    <row r="9" spans="1:3" ht="31" x14ac:dyDescent="0.35">
      <c r="A9" s="346" t="s">
        <v>205</v>
      </c>
      <c r="B9" s="131" t="s">
        <v>131</v>
      </c>
    </row>
    <row r="10" spans="1:3" ht="31" x14ac:dyDescent="0.35">
      <c r="A10" s="346" t="s">
        <v>255</v>
      </c>
      <c r="B10" s="131" t="s">
        <v>131</v>
      </c>
    </row>
    <row r="11" spans="1:3" x14ac:dyDescent="0.35">
      <c r="A11" s="346" t="s">
        <v>256</v>
      </c>
      <c r="B11" s="131"/>
    </row>
    <row r="12" spans="1:3" ht="31" x14ac:dyDescent="0.35">
      <c r="A12" s="346" t="s">
        <v>206</v>
      </c>
      <c r="B12" s="131" t="s">
        <v>131</v>
      </c>
    </row>
    <row r="13" spans="1:3" ht="32" thickBot="1" x14ac:dyDescent="0.45">
      <c r="A13" s="135" t="s">
        <v>138</v>
      </c>
      <c r="B13" s="131" t="s">
        <v>131</v>
      </c>
    </row>
    <row r="14" spans="1:3" ht="16" thickTop="1" x14ac:dyDescent="0.35">
      <c r="A14" s="133" t="s">
        <v>236</v>
      </c>
      <c r="B14" s="131"/>
    </row>
    <row r="15" spans="1:3" ht="56" x14ac:dyDescent="0.35">
      <c r="A15" s="133" t="s">
        <v>257</v>
      </c>
      <c r="B15" s="131" t="s">
        <v>130</v>
      </c>
    </row>
    <row r="16" spans="1:3" ht="31" x14ac:dyDescent="0.35">
      <c r="A16" s="330" t="s">
        <v>207</v>
      </c>
      <c r="B16" s="131" t="s">
        <v>131</v>
      </c>
      <c r="C16" s="337"/>
    </row>
    <row r="17" spans="1:3" ht="47" thickBot="1" x14ac:dyDescent="0.4">
      <c r="A17" s="136" t="s">
        <v>208</v>
      </c>
      <c r="B17" s="131" t="s">
        <v>130</v>
      </c>
      <c r="C17" s="337"/>
    </row>
    <row r="18" spans="1:3" ht="31" x14ac:dyDescent="0.35">
      <c r="A18" s="330" t="s">
        <v>209</v>
      </c>
      <c r="B18" s="131" t="s">
        <v>131</v>
      </c>
      <c r="C18" s="337"/>
    </row>
    <row r="19" spans="1:3" x14ac:dyDescent="0.35">
      <c r="A19" s="330" t="s">
        <v>210</v>
      </c>
      <c r="B19" s="131"/>
      <c r="C19" s="337"/>
    </row>
    <row r="20" spans="1:3" ht="47" thickBot="1" x14ac:dyDescent="0.4">
      <c r="A20" s="136" t="s">
        <v>211</v>
      </c>
      <c r="B20" s="131" t="s">
        <v>130</v>
      </c>
      <c r="C20" s="337"/>
    </row>
    <row r="21" spans="1:3" x14ac:dyDescent="0.35">
      <c r="A21" s="332" t="s">
        <v>237</v>
      </c>
      <c r="B21" s="131"/>
      <c r="C21" s="337"/>
    </row>
    <row r="22" spans="1:3" s="339" customFormat="1" ht="31" x14ac:dyDescent="0.35">
      <c r="A22" s="333" t="s">
        <v>215</v>
      </c>
      <c r="B22" s="131" t="s">
        <v>131</v>
      </c>
      <c r="C22" s="338"/>
    </row>
    <row r="23" spans="1:3" s="339" customFormat="1" ht="46.5" x14ac:dyDescent="0.35">
      <c r="A23" s="334" t="s">
        <v>214</v>
      </c>
      <c r="B23" s="131" t="s">
        <v>130</v>
      </c>
      <c r="C23" s="338"/>
    </row>
    <row r="24" spans="1:3" x14ac:dyDescent="0.35">
      <c r="A24" s="333" t="s">
        <v>213</v>
      </c>
      <c r="B24" s="340"/>
      <c r="C24" s="337"/>
    </row>
    <row r="25" spans="1:3" ht="31" x14ac:dyDescent="0.35">
      <c r="A25" s="335" t="s">
        <v>212</v>
      </c>
      <c r="B25" s="131" t="s">
        <v>131</v>
      </c>
      <c r="C25" s="337"/>
    </row>
    <row r="26" spans="1:3" x14ac:dyDescent="0.35">
      <c r="A26" s="332" t="s">
        <v>238</v>
      </c>
      <c r="B26" s="131"/>
      <c r="C26" s="337"/>
    </row>
    <row r="27" spans="1:3" ht="31" x14ac:dyDescent="0.35">
      <c r="A27" s="333" t="s">
        <v>216</v>
      </c>
      <c r="B27" s="131" t="s">
        <v>131</v>
      </c>
      <c r="C27" s="337"/>
    </row>
    <row r="28" spans="1:3" ht="31" x14ac:dyDescent="0.35">
      <c r="A28" s="333" t="s">
        <v>217</v>
      </c>
      <c r="B28" s="131" t="s">
        <v>131</v>
      </c>
      <c r="C28" s="337"/>
    </row>
    <row r="29" spans="1:3" x14ac:dyDescent="0.35">
      <c r="A29" s="335" t="s">
        <v>218</v>
      </c>
      <c r="B29" s="131"/>
      <c r="C29" s="337"/>
    </row>
    <row r="30" spans="1:3" x14ac:dyDescent="0.35">
      <c r="A30" s="332" t="s">
        <v>239</v>
      </c>
      <c r="B30" s="131"/>
      <c r="C30" s="337"/>
    </row>
    <row r="31" spans="1:3" ht="31" x14ac:dyDescent="0.35">
      <c r="A31" s="333" t="s">
        <v>220</v>
      </c>
      <c r="B31" s="131" t="s">
        <v>131</v>
      </c>
    </row>
    <row r="32" spans="1:3" ht="46.5" x14ac:dyDescent="0.35">
      <c r="A32" s="333" t="s">
        <v>221</v>
      </c>
      <c r="B32" s="131" t="s">
        <v>130</v>
      </c>
    </row>
    <row r="33" spans="1:2" x14ac:dyDescent="0.35">
      <c r="A33" s="335" t="s">
        <v>219</v>
      </c>
      <c r="B33" s="131"/>
    </row>
    <row r="34" spans="1:2" x14ac:dyDescent="0.35">
      <c r="A34" s="341" t="s">
        <v>240</v>
      </c>
      <c r="B34" s="131"/>
    </row>
    <row r="35" spans="1:2" ht="31" x14ac:dyDescent="0.35">
      <c r="A35" s="335" t="s">
        <v>222</v>
      </c>
      <c r="B35" s="131" t="s">
        <v>131</v>
      </c>
    </row>
    <row r="36" spans="1:2" ht="62" x14ac:dyDescent="0.35">
      <c r="A36" s="344" t="s">
        <v>223</v>
      </c>
      <c r="B36" s="343" t="s">
        <v>135</v>
      </c>
    </row>
    <row r="37" spans="1:2" ht="31.5" thickBot="1" x14ac:dyDescent="0.4">
      <c r="A37" s="136" t="s">
        <v>241</v>
      </c>
      <c r="B37" s="131" t="s">
        <v>131</v>
      </c>
    </row>
    <row r="38" spans="1:2" x14ac:dyDescent="0.35">
      <c r="A38" s="330" t="s">
        <v>243</v>
      </c>
      <c r="B38" s="131"/>
    </row>
    <row r="39" spans="1:2" ht="46.5" x14ac:dyDescent="0.35">
      <c r="A39" s="330" t="s">
        <v>258</v>
      </c>
      <c r="B39" s="131" t="s">
        <v>130</v>
      </c>
    </row>
    <row r="40" spans="1:2" ht="31" x14ac:dyDescent="0.35">
      <c r="A40" s="330" t="s">
        <v>259</v>
      </c>
      <c r="B40" s="131" t="s">
        <v>131</v>
      </c>
    </row>
    <row r="41" spans="1:2" ht="31" x14ac:dyDescent="0.35">
      <c r="A41" s="330" t="s">
        <v>260</v>
      </c>
      <c r="B41" s="131" t="s">
        <v>131</v>
      </c>
    </row>
    <row r="42" spans="1:2" ht="31" x14ac:dyDescent="0.35">
      <c r="A42" s="330" t="s">
        <v>244</v>
      </c>
      <c r="B42" s="131" t="s">
        <v>131</v>
      </c>
    </row>
    <row r="43" spans="1:2" ht="77.5" x14ac:dyDescent="0.35">
      <c r="A43" s="331" t="s">
        <v>245</v>
      </c>
      <c r="B43" s="131" t="s">
        <v>253</v>
      </c>
    </row>
    <row r="44" spans="1:2" ht="46.5" x14ac:dyDescent="0.35">
      <c r="A44" s="331" t="s">
        <v>242</v>
      </c>
      <c r="B44" s="131" t="s">
        <v>130</v>
      </c>
    </row>
    <row r="45" spans="1:2" ht="31.5" thickBot="1" x14ac:dyDescent="0.4">
      <c r="A45" s="136" t="s">
        <v>246</v>
      </c>
      <c r="B45" s="131" t="s">
        <v>131</v>
      </c>
    </row>
    <row r="46" spans="1:2" ht="62" x14ac:dyDescent="0.35">
      <c r="A46" s="330" t="s">
        <v>224</v>
      </c>
      <c r="B46" s="131" t="s">
        <v>135</v>
      </c>
    </row>
    <row r="47" spans="1:2" ht="47.5" thickBot="1" x14ac:dyDescent="0.45">
      <c r="A47" s="135" t="s">
        <v>137</v>
      </c>
      <c r="B47" s="131" t="s">
        <v>130</v>
      </c>
    </row>
    <row r="48" spans="1:2" ht="47" thickTop="1" x14ac:dyDescent="0.35">
      <c r="A48" s="330" t="s">
        <v>225</v>
      </c>
      <c r="B48" s="131" t="s">
        <v>130</v>
      </c>
    </row>
    <row r="49" spans="1:2" ht="42" x14ac:dyDescent="0.35">
      <c r="A49" s="330" t="s">
        <v>226</v>
      </c>
      <c r="B49" s="131" t="s">
        <v>131</v>
      </c>
    </row>
    <row r="50" spans="1:2" ht="47.5" thickBot="1" x14ac:dyDescent="0.45">
      <c r="A50" s="135" t="s">
        <v>136</v>
      </c>
      <c r="B50" s="131" t="s">
        <v>130</v>
      </c>
    </row>
    <row r="51" spans="1:2" ht="31.5" thickTop="1" x14ac:dyDescent="0.35">
      <c r="A51" s="330" t="s">
        <v>227</v>
      </c>
      <c r="B51" s="131" t="s">
        <v>131</v>
      </c>
    </row>
    <row r="52" spans="1:2" ht="47.5" thickBot="1" x14ac:dyDescent="0.45">
      <c r="A52" s="135" t="s">
        <v>228</v>
      </c>
      <c r="B52" s="131" t="s">
        <v>130</v>
      </c>
    </row>
    <row r="53" spans="1:2" ht="78" thickTop="1" x14ac:dyDescent="0.35">
      <c r="A53" s="330" t="s">
        <v>229</v>
      </c>
      <c r="B53" s="131" t="s">
        <v>253</v>
      </c>
    </row>
    <row r="54" spans="1:2" ht="31" x14ac:dyDescent="0.35">
      <c r="A54" s="331" t="s">
        <v>230</v>
      </c>
      <c r="B54" s="131" t="s">
        <v>131</v>
      </c>
    </row>
    <row r="55" spans="1:2" ht="46.5" x14ac:dyDescent="0.35">
      <c r="A55" s="331" t="s">
        <v>234</v>
      </c>
      <c r="B55" s="131" t="s">
        <v>130</v>
      </c>
    </row>
    <row r="56" spans="1:2" ht="31" x14ac:dyDescent="0.35">
      <c r="A56" s="331" t="s">
        <v>233</v>
      </c>
      <c r="B56" s="131" t="s">
        <v>131</v>
      </c>
    </row>
    <row r="57" spans="1:2" ht="28" x14ac:dyDescent="0.35">
      <c r="A57" s="345" t="s">
        <v>232</v>
      </c>
      <c r="B57" s="131"/>
    </row>
    <row r="58" spans="1:2" x14ac:dyDescent="0.35">
      <c r="A58" s="331" t="s">
        <v>231</v>
      </c>
      <c r="B58" s="131"/>
    </row>
    <row r="59" spans="1:2" ht="47.5" thickBot="1" x14ac:dyDescent="0.45">
      <c r="A59" s="135" t="s">
        <v>261</v>
      </c>
      <c r="B59" s="131" t="s">
        <v>130</v>
      </c>
    </row>
    <row r="60" spans="1:2" ht="16" thickTop="1" x14ac:dyDescent="0.35">
      <c r="A60" s="342" t="s">
        <v>262</v>
      </c>
      <c r="B60" s="131"/>
    </row>
    <row r="61" spans="1:2" ht="31.5" thickBot="1" x14ac:dyDescent="0.4">
      <c r="A61" s="136" t="s">
        <v>247</v>
      </c>
      <c r="B61" s="131" t="s">
        <v>131</v>
      </c>
    </row>
    <row r="62" spans="1:2" ht="31" x14ac:dyDescent="0.35">
      <c r="A62" s="330" t="s">
        <v>248</v>
      </c>
      <c r="B62" s="131" t="s">
        <v>131</v>
      </c>
    </row>
    <row r="63" spans="1:2" ht="46.5" x14ac:dyDescent="0.35">
      <c r="A63" s="330" t="s">
        <v>251</v>
      </c>
      <c r="B63" s="131" t="s">
        <v>130</v>
      </c>
    </row>
    <row r="64" spans="1:2" ht="31.5" thickBot="1" x14ac:dyDescent="0.4">
      <c r="A64" s="136" t="s">
        <v>263</v>
      </c>
      <c r="B64" s="131" t="s">
        <v>131</v>
      </c>
    </row>
    <row r="65" spans="1:2" x14ac:dyDescent="0.35">
      <c r="A65" s="330" t="s">
        <v>249</v>
      </c>
      <c r="B65" s="131"/>
    </row>
    <row r="66" spans="1:2" ht="47.5" thickBot="1" x14ac:dyDescent="0.45">
      <c r="A66" s="135" t="s">
        <v>235</v>
      </c>
      <c r="B66" s="131" t="s">
        <v>130</v>
      </c>
    </row>
    <row r="67" spans="1:2" ht="16" thickTop="1" x14ac:dyDescent="0.35">
      <c r="A67" s="342" t="s">
        <v>264</v>
      </c>
      <c r="B67" s="131"/>
    </row>
    <row r="68" spans="1:2" ht="31" x14ac:dyDescent="0.35">
      <c r="A68" s="342" t="s">
        <v>267</v>
      </c>
      <c r="B68" s="131" t="s">
        <v>131</v>
      </c>
    </row>
    <row r="69" spans="1:2" ht="31" x14ac:dyDescent="0.35">
      <c r="A69" s="342" t="s">
        <v>268</v>
      </c>
      <c r="B69" s="131" t="s">
        <v>131</v>
      </c>
    </row>
    <row r="70" spans="1:2" x14ac:dyDescent="0.35">
      <c r="A70" s="129" t="s">
        <v>150</v>
      </c>
    </row>
  </sheetData>
  <sheetProtection sheet="1" formatCells="0" formatColumns="0" formatRows="0"/>
  <pageMargins left="0.7" right="0.7" top="0.75" bottom="0.75" header="0.3" footer="0.3"/>
  <pageSetup fitToHeight="0" orientation="portrait" horizontalDpi="4294967293" verticalDpi="200" r:id="rId1"/>
  <headerFooter>
    <oddHeader>&amp;LInformation&amp;RPrinted on: &amp;D</oddHead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7BAEC-ABB1-40F5-9AF0-827FE93776AE}">
  <sheetPr>
    <tabColor rgb="FF800000"/>
  </sheetPr>
  <dimension ref="A1:C22"/>
  <sheetViews>
    <sheetView showGridLines="0" workbookViewId="0"/>
  </sheetViews>
  <sheetFormatPr defaultRowHeight="14.5" zeroHeight="1" x14ac:dyDescent="0.35"/>
  <cols>
    <col min="1" max="1" width="19.90625" style="138" customWidth="1"/>
    <col min="2" max="2" width="37.81640625" style="39" customWidth="1"/>
    <col min="3" max="3" width="26.08984375" style="39" customWidth="1"/>
    <col min="4" max="16384" width="8.7265625" style="39"/>
  </cols>
  <sheetData>
    <row r="1" spans="1:3" x14ac:dyDescent="0.35">
      <c r="A1" s="155" t="s">
        <v>149</v>
      </c>
    </row>
    <row r="2" spans="1:3" ht="21" x14ac:dyDescent="0.35">
      <c r="A2" s="154" t="s">
        <v>200</v>
      </c>
    </row>
    <row r="3" spans="1:3" x14ac:dyDescent="0.35">
      <c r="A3" s="153" t="s">
        <v>84</v>
      </c>
      <c r="B3" s="146"/>
      <c r="C3" s="146"/>
    </row>
    <row r="4" spans="1:3" x14ac:dyDescent="0.35">
      <c r="A4" s="145" t="s">
        <v>148</v>
      </c>
    </row>
    <row r="5" spans="1:3" x14ac:dyDescent="0.35">
      <c r="A5" s="144" t="s">
        <v>142</v>
      </c>
      <c r="B5" s="143" t="s">
        <v>141</v>
      </c>
    </row>
    <row r="6" spans="1:3" x14ac:dyDescent="0.35">
      <c r="A6" s="152" t="s">
        <v>89</v>
      </c>
      <c r="B6" s="141" t="s">
        <v>147</v>
      </c>
    </row>
    <row r="7" spans="1:3" x14ac:dyDescent="0.35">
      <c r="A7" s="151" t="s">
        <v>88</v>
      </c>
      <c r="B7" s="148" t="s">
        <v>146</v>
      </c>
    </row>
    <row r="8" spans="1:3" x14ac:dyDescent="0.35">
      <c r="A8" s="150" t="s">
        <v>87</v>
      </c>
      <c r="B8" s="139" t="s">
        <v>145</v>
      </c>
    </row>
    <row r="9" spans="1:3" x14ac:dyDescent="0.35"/>
    <row r="10" spans="1:3" x14ac:dyDescent="0.35">
      <c r="A10" s="147" t="s">
        <v>85</v>
      </c>
      <c r="B10" s="146"/>
      <c r="C10" s="146"/>
    </row>
    <row r="11" spans="1:3" x14ac:dyDescent="0.35">
      <c r="A11" s="145" t="s">
        <v>144</v>
      </c>
    </row>
    <row r="12" spans="1:3" x14ac:dyDescent="0.35">
      <c r="A12" s="144" t="s">
        <v>142</v>
      </c>
      <c r="B12" s="143" t="s">
        <v>141</v>
      </c>
    </row>
    <row r="13" spans="1:3" x14ac:dyDescent="0.35">
      <c r="A13" s="142" t="s">
        <v>189</v>
      </c>
      <c r="B13" s="141" t="s">
        <v>140</v>
      </c>
    </row>
    <row r="14" spans="1:3" x14ac:dyDescent="0.35">
      <c r="A14" s="149" t="s">
        <v>188</v>
      </c>
      <c r="B14" s="148" t="s">
        <v>139</v>
      </c>
    </row>
    <row r="15" spans="1:3" x14ac:dyDescent="0.35">
      <c r="A15" s="140" t="s">
        <v>4</v>
      </c>
      <c r="B15" s="139" t="s">
        <v>143</v>
      </c>
    </row>
    <row r="16" spans="1:3" x14ac:dyDescent="0.35"/>
    <row r="17" spans="1:3" x14ac:dyDescent="0.35">
      <c r="A17" s="147" t="s">
        <v>86</v>
      </c>
      <c r="B17" s="146"/>
      <c r="C17" s="146"/>
    </row>
    <row r="18" spans="1:3" x14ac:dyDescent="0.35">
      <c r="A18" s="145" t="s">
        <v>151</v>
      </c>
    </row>
    <row r="19" spans="1:3" x14ac:dyDescent="0.35">
      <c r="A19" s="144" t="s">
        <v>142</v>
      </c>
      <c r="B19" s="143" t="s">
        <v>141</v>
      </c>
    </row>
    <row r="20" spans="1:3" x14ac:dyDescent="0.35">
      <c r="A20" s="142" t="s">
        <v>189</v>
      </c>
      <c r="B20" s="141" t="s">
        <v>140</v>
      </c>
    </row>
    <row r="21" spans="1:3" x14ac:dyDescent="0.35">
      <c r="A21" s="140" t="s">
        <v>188</v>
      </c>
      <c r="B21" s="139" t="s">
        <v>139</v>
      </c>
    </row>
    <row r="22" spans="1:3" x14ac:dyDescent="0.35">
      <c r="A22" s="327" t="s">
        <v>150</v>
      </c>
    </row>
  </sheetData>
  <sheetProtection sheet="1" objects="1" scenarios="1" formatCells="0" formatColumns="0" formatRows="0"/>
  <conditionalFormatting sqref="D8:F13">
    <cfRule type="colorScale" priority="4">
      <colorScale>
        <cfvo type="min"/>
        <cfvo type="max"/>
        <color rgb="FFFCFCFF"/>
        <color rgb="FFCDACE6"/>
      </colorScale>
    </cfRule>
  </conditionalFormatting>
  <conditionalFormatting sqref="D14:F15 D18:F21">
    <cfRule type="colorScale" priority="3">
      <colorScale>
        <cfvo type="min"/>
        <cfvo type="max"/>
        <color rgb="FFFCFCFF"/>
        <color rgb="FFC4D79B"/>
      </colorScale>
    </cfRule>
  </conditionalFormatting>
  <conditionalFormatting sqref="D16:F17">
    <cfRule type="colorScale" priority="1">
      <colorScale>
        <cfvo type="min"/>
        <cfvo type="max"/>
        <color rgb="FFFCFCFF"/>
        <color rgb="FFCDACE6"/>
      </colorScale>
    </cfRule>
  </conditionalFormatting>
  <conditionalFormatting sqref="D22:F26">
    <cfRule type="colorScale" priority="2">
      <colorScale>
        <cfvo type="min"/>
        <cfvo type="max"/>
        <color rgb="FFFCFCFF"/>
        <color rgb="FFDAEAF8"/>
      </colorScale>
    </cfRule>
  </conditionalFormatting>
  <pageMargins left="0.7" right="0.7" top="0.75" bottom="0.75" header="0.3" footer="0.3"/>
  <pageSetup orientation="portrait" horizontalDpi="4294967293" verticalDpi="0" r:id="rId1"/>
  <headerFooter>
    <oddHeader>&amp;LCodes&amp;RPrinted on: &amp;D</oddHeader>
    <oddFooter>&amp;CPage &amp;P of &amp;N</oddFooter>
  </headerFooter>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C7ACF-B799-4FA7-963F-A7040E1C0256}">
  <sheetPr>
    <tabColor rgb="FFFFFFCC"/>
    <pageSetUpPr fitToPage="1"/>
  </sheetPr>
  <dimension ref="A1:S66"/>
  <sheetViews>
    <sheetView showGridLines="0" zoomScaleNormal="100" workbookViewId="0">
      <pane ySplit="6" topLeftCell="A7" activePane="bottomLeft" state="frozen"/>
      <selection activeCell="D7" sqref="D7:D42"/>
      <selection pane="bottomLeft"/>
    </sheetView>
  </sheetViews>
  <sheetFormatPr defaultRowHeight="14.5" x14ac:dyDescent="0.35"/>
  <cols>
    <col min="1" max="1" width="7.26953125" customWidth="1"/>
    <col min="2" max="2" width="12.54296875" style="22" customWidth="1"/>
    <col min="3" max="3" width="54.08984375" customWidth="1"/>
    <col min="4" max="4" width="10.1796875" customWidth="1"/>
    <col min="5" max="5" width="8.453125" customWidth="1"/>
    <col min="6" max="6" width="7.90625" customWidth="1"/>
    <col min="7" max="7" width="36.36328125" customWidth="1"/>
    <col min="8" max="8" width="0" hidden="1" customWidth="1"/>
    <col min="9" max="9" width="2.26953125" customWidth="1"/>
    <col min="10" max="10" width="7.26953125" customWidth="1"/>
    <col min="11" max="11" width="85.1796875" style="22" customWidth="1"/>
    <col min="12" max="12" width="14.453125" customWidth="1"/>
    <col min="13" max="13" width="44.453125" customWidth="1"/>
    <col min="14" max="14" width="16" style="44" customWidth="1"/>
    <col min="15" max="15" width="30.54296875" customWidth="1"/>
    <col min="16" max="16" width="1.453125" customWidth="1"/>
  </cols>
  <sheetData>
    <row r="1" spans="1:19" s="270" customFormat="1" ht="10.5" x14ac:dyDescent="0.25">
      <c r="A1" s="271" t="s">
        <v>112</v>
      </c>
      <c r="B1" s="272"/>
      <c r="K1" s="272"/>
      <c r="N1" s="273"/>
    </row>
    <row r="2" spans="1:19" s="268" customFormat="1" ht="6.5" x14ac:dyDescent="0.15">
      <c r="B2" s="286"/>
      <c r="K2" s="286"/>
      <c r="N2" s="287"/>
    </row>
    <row r="3" spans="1:19" x14ac:dyDescent="0.35">
      <c r="A3" s="245" t="str">
        <f>IF(G3="","You must enter a name (or role) in cell G3 to activate the workbook.",IF(G4="","You must enter a Date of Self Assessment in G4 to activate this worksheet.",""))</f>
        <v/>
      </c>
      <c r="B3" s="298"/>
      <c r="F3" s="33" t="s">
        <v>106</v>
      </c>
      <c r="G3" s="315" t="s">
        <v>272</v>
      </c>
    </row>
    <row r="4" spans="1:19" ht="20.5" thickBot="1" x14ac:dyDescent="0.4">
      <c r="A4" s="31" t="s">
        <v>103</v>
      </c>
      <c r="B4" s="32"/>
      <c r="C4" s="383"/>
      <c r="F4" s="33" t="s">
        <v>105</v>
      </c>
      <c r="G4" s="285">
        <v>45422</v>
      </c>
      <c r="J4" s="31" t="s">
        <v>104</v>
      </c>
      <c r="K4" s="32"/>
      <c r="M4" s="33" t="s">
        <v>97</v>
      </c>
      <c r="N4" s="285"/>
      <c r="O4" s="34"/>
      <c r="P4" s="35"/>
    </row>
    <row r="5" spans="1:19" x14ac:dyDescent="0.35">
      <c r="G5" s="380"/>
      <c r="J5" s="36" t="str">
        <f>calc!B10</f>
        <v>These are the 'Improve? = Yes'  results from Round 1 (5/10/24)</v>
      </c>
      <c r="K5" s="37"/>
      <c r="L5" s="38"/>
      <c r="M5" s="38"/>
      <c r="N5" s="43"/>
      <c r="O5" s="39"/>
      <c r="P5" s="38"/>
    </row>
    <row r="6" spans="1:19" ht="43.5" x14ac:dyDescent="0.35">
      <c r="A6" s="45" t="s">
        <v>94</v>
      </c>
      <c r="B6" s="46" t="s">
        <v>0</v>
      </c>
      <c r="C6" s="49" t="s">
        <v>1</v>
      </c>
      <c r="D6" s="48" t="s">
        <v>84</v>
      </c>
      <c r="E6" s="45" t="s">
        <v>85</v>
      </c>
      <c r="F6" s="45" t="s">
        <v>86</v>
      </c>
      <c r="G6" s="49" t="s">
        <v>95</v>
      </c>
      <c r="H6" s="50" t="s">
        <v>90</v>
      </c>
      <c r="J6" s="60" t="s">
        <v>98</v>
      </c>
      <c r="K6" s="61" t="s">
        <v>1</v>
      </c>
      <c r="L6" s="62" t="s">
        <v>99</v>
      </c>
      <c r="M6" s="62" t="s">
        <v>100</v>
      </c>
      <c r="N6" s="291" t="s">
        <v>101</v>
      </c>
      <c r="O6" s="63" t="s">
        <v>95</v>
      </c>
      <c r="P6" s="38"/>
    </row>
    <row r="7" spans="1:19" ht="43.5" x14ac:dyDescent="0.35">
      <c r="A7" s="1">
        <v>1</v>
      </c>
      <c r="B7" s="24" t="s">
        <v>2</v>
      </c>
      <c r="C7" s="21" t="s">
        <v>3</v>
      </c>
      <c r="D7" s="57" t="s">
        <v>87</v>
      </c>
      <c r="E7" s="2" t="s">
        <v>189</v>
      </c>
      <c r="F7" s="288"/>
      <c r="G7" s="52"/>
      <c r="H7" s="24" t="s">
        <v>91</v>
      </c>
      <c r="J7" s="38" t="str">
        <f>calc!B13&amp;""</f>
        <v>FD-3</v>
      </c>
      <c r="K7" s="37" t="str">
        <f>_xlfn.LET(_xlpm.x,INDEX(EnterData_8[Competencies],MATCH(J7,EnterData_8[Competency Num],0),1),IF(ISERROR(_xlpm.x),"",_xlpm.x))</f>
        <v>Is knowledgeable about relevant policies such as the Individuals with Disabilities Education Act (IDEA), Family Educational Rights and Privacy Act (FERPA), Health Insurance Portability and Accountability Act (HIPAA), and state regulations that address the privacy and security of Part C/Part B 619 data/records.</v>
      </c>
      <c r="L7" s="294"/>
      <c r="M7" s="295"/>
      <c r="N7" s="296"/>
      <c r="O7" s="296"/>
      <c r="P7" s="20"/>
      <c r="Q7" s="20"/>
      <c r="R7" s="20"/>
      <c r="S7" s="20"/>
    </row>
    <row r="8" spans="1:19" ht="43.5" x14ac:dyDescent="0.35">
      <c r="A8" s="3">
        <v>2</v>
      </c>
      <c r="B8" s="25" t="s">
        <v>5</v>
      </c>
      <c r="C8" s="4" t="s">
        <v>6</v>
      </c>
      <c r="D8" s="58" t="s">
        <v>87</v>
      </c>
      <c r="E8" s="5" t="s">
        <v>189</v>
      </c>
      <c r="F8" s="289"/>
      <c r="G8" s="53"/>
      <c r="H8" s="25" t="s">
        <v>91</v>
      </c>
      <c r="J8" s="38" t="str">
        <f>calc!B14&amp;""</f>
        <v>FD-5</v>
      </c>
      <c r="K8" s="37" t="str">
        <f>_xlfn.LET(_xlpm.x,INDEX(EnterData_8[Competencies],MATCH(J8,EnterData_8[Competency Num],0),1),IF(ISERROR(_xlpm.x),"",_xlpm.x))</f>
        <v>Is knowledgeable about various methods for collecting data, including quantitative and qualitative methods, when to use various methods, and the advantages and limitations of such methods with different groups of respondents.</v>
      </c>
      <c r="L8" s="294"/>
      <c r="M8" s="295"/>
      <c r="N8" s="296"/>
      <c r="O8" s="296"/>
      <c r="P8" s="20"/>
      <c r="Q8" s="20"/>
      <c r="R8" s="20"/>
      <c r="S8" s="20"/>
    </row>
    <row r="9" spans="1:19" ht="72.5" x14ac:dyDescent="0.35">
      <c r="A9" s="3">
        <v>3</v>
      </c>
      <c r="B9" s="25" t="s">
        <v>8</v>
      </c>
      <c r="C9" s="4" t="s">
        <v>9</v>
      </c>
      <c r="D9" s="58" t="s">
        <v>88</v>
      </c>
      <c r="E9" s="5" t="s">
        <v>189</v>
      </c>
      <c r="F9" s="289" t="s">
        <v>189</v>
      </c>
      <c r="G9" s="53"/>
      <c r="H9" s="25" t="s">
        <v>91</v>
      </c>
      <c r="J9" s="38" t="str">
        <f>calc!B15&amp;""</f>
        <v>FD-6</v>
      </c>
      <c r="K9" s="37" t="str">
        <f>_xlfn.LET(_xlpm.x,INDEX(EnterData_8[Competencies],MATCH(J9,EnterData_8[Competency Num],0),1),IF(ISERROR(_xlpm.x),"",_xlpm.x))</f>
        <v>Is knowledgeable about data analysis and presentation methods, their strengths and limitations, and their use in developing data products to meet the needs of intended users.</v>
      </c>
      <c r="L9" s="294"/>
      <c r="M9" s="295"/>
      <c r="N9" s="296"/>
      <c r="O9" s="296"/>
      <c r="P9" s="20"/>
      <c r="Q9" s="20"/>
      <c r="R9" s="20"/>
      <c r="S9" s="20"/>
    </row>
    <row r="10" spans="1:19" ht="43.5" x14ac:dyDescent="0.35">
      <c r="A10" s="3">
        <v>4</v>
      </c>
      <c r="B10" s="25" t="s">
        <v>10</v>
      </c>
      <c r="C10" s="4" t="s">
        <v>11</v>
      </c>
      <c r="D10" s="58" t="s">
        <v>87</v>
      </c>
      <c r="E10" s="5" t="s">
        <v>189</v>
      </c>
      <c r="F10" s="289"/>
      <c r="G10" s="53"/>
      <c r="H10" s="25" t="s">
        <v>91</v>
      </c>
      <c r="J10" s="38" t="str">
        <f>calc!B16&amp;""</f>
        <v>FD-7</v>
      </c>
      <c r="K10" s="37" t="str">
        <f>_xlfn.LET(_xlpm.x,INDEX(EnterData_8[Competencies],MATCH(J10,EnterData_8[Competency Num],0),1),IF(ISERROR(_xlpm.x),"",_xlpm.x))</f>
        <v>Is knowledgeable of policies and procedures required for the governance and management of Part C/Part B 619 data, including those related to the quality and integrity of the data, and the security of and access to those data.</v>
      </c>
      <c r="L10" s="294"/>
      <c r="M10" s="295"/>
      <c r="N10" s="296"/>
      <c r="O10" s="296"/>
      <c r="P10" s="20"/>
      <c r="Q10" s="20"/>
      <c r="R10" s="20"/>
      <c r="S10" s="20"/>
    </row>
    <row r="11" spans="1:19" ht="58" x14ac:dyDescent="0.35">
      <c r="A11" s="3">
        <v>5</v>
      </c>
      <c r="B11" s="25" t="s">
        <v>12</v>
      </c>
      <c r="C11" s="4" t="s">
        <v>13</v>
      </c>
      <c r="D11" s="58" t="s">
        <v>89</v>
      </c>
      <c r="E11" s="5" t="s">
        <v>189</v>
      </c>
      <c r="F11" s="289" t="s">
        <v>189</v>
      </c>
      <c r="G11" s="53"/>
      <c r="H11" s="25" t="s">
        <v>91</v>
      </c>
      <c r="J11" s="38" t="str">
        <f>calc!B17&amp;""</f>
        <v>FD-10</v>
      </c>
      <c r="K11" s="37" t="str">
        <f>_xlfn.LET(_xlpm.x,INDEX(EnterData_8[Competencies],MATCH(J11,EnterData_8[Competency Num],0),1),IF(ISERROR(_xlpm.x),"",_xlpm.x))</f>
        <v>Demonstrates the ability to provide opportunities for state team members, local program staff, and (other) stakeholders to learn data knowledge and skills essential to their respective roles (e.g., data collection, reporting requirements, data literacy).</v>
      </c>
      <c r="L11" s="294"/>
      <c r="M11" s="295"/>
      <c r="N11" s="296"/>
      <c r="O11" s="296"/>
      <c r="P11" s="20"/>
      <c r="Q11" s="20"/>
      <c r="R11" s="20"/>
      <c r="S11" s="20"/>
    </row>
    <row r="12" spans="1:19" ht="43.5" x14ac:dyDescent="0.35">
      <c r="A12" s="3">
        <v>6</v>
      </c>
      <c r="B12" s="25" t="s">
        <v>15</v>
      </c>
      <c r="C12" s="4" t="s">
        <v>16</v>
      </c>
      <c r="D12" s="58" t="s">
        <v>88</v>
      </c>
      <c r="E12" s="5" t="s">
        <v>189</v>
      </c>
      <c r="F12" s="289" t="s">
        <v>189</v>
      </c>
      <c r="G12" s="53"/>
      <c r="H12" s="25" t="s">
        <v>91</v>
      </c>
      <c r="J12" s="38" t="str">
        <f>calc!B18&amp;""</f>
        <v>IN-5</v>
      </c>
      <c r="K12" s="37" t="str">
        <f>_xlfn.LET(_xlpm.x,INDEX(EnterData_8[Competencies],MATCH(J12,EnterData_8[Competency Num],0),1),IF(ISERROR(_xlpm.x),"",_xlpm.x))</f>
        <v>Demonstrates the ability to delineate appropriate roles and responsibilities for decisionmaking authority, accountability, and management related to collection, analysis, use, and dissemination of Part C/ Part B 619 data.</v>
      </c>
      <c r="L12" s="294"/>
      <c r="M12" s="295"/>
      <c r="N12" s="296"/>
      <c r="O12" s="296"/>
      <c r="P12" s="20"/>
      <c r="Q12" s="20"/>
      <c r="R12" s="20"/>
      <c r="S12" s="20"/>
    </row>
    <row r="13" spans="1:19" ht="58" x14ac:dyDescent="0.35">
      <c r="A13" s="3">
        <v>7</v>
      </c>
      <c r="B13" s="25" t="s">
        <v>17</v>
      </c>
      <c r="C13" s="4" t="s">
        <v>18</v>
      </c>
      <c r="D13" s="58" t="s">
        <v>89</v>
      </c>
      <c r="E13" s="5" t="s">
        <v>189</v>
      </c>
      <c r="F13" s="289" t="s">
        <v>189</v>
      </c>
      <c r="G13" s="53"/>
      <c r="H13" s="25" t="s">
        <v>91</v>
      </c>
      <c r="J13" s="38" t="str">
        <f>calc!B19&amp;""</f>
        <v>IN-7</v>
      </c>
      <c r="K13" s="37" t="str">
        <f>_xlfn.LET(_xlpm.x,INDEX(EnterData_8[Competencies],MATCH(J13,EnterData_8[Competency Num],0),1),IF(ISERROR(_xlpm.x),"",_xlpm.x))</f>
        <v>Demonstrates the ability to manage a data system to collect programmatic information from multiple sources for federal and state reporting and system management.</v>
      </c>
      <c r="L13" s="294"/>
      <c r="M13" s="295"/>
      <c r="N13" s="296"/>
      <c r="O13" s="296"/>
      <c r="P13" s="20"/>
      <c r="Q13" s="20"/>
      <c r="R13" s="20"/>
      <c r="S13" s="20"/>
    </row>
    <row r="14" spans="1:19" ht="58" x14ac:dyDescent="0.35">
      <c r="A14" s="3">
        <v>8</v>
      </c>
      <c r="B14" s="25" t="s">
        <v>19</v>
      </c>
      <c r="C14" s="4" t="s">
        <v>20</v>
      </c>
      <c r="D14" s="58" t="s">
        <v>88</v>
      </c>
      <c r="E14" s="5" t="s">
        <v>188</v>
      </c>
      <c r="F14" s="289" t="s">
        <v>188</v>
      </c>
      <c r="G14" s="53"/>
      <c r="H14" s="25" t="s">
        <v>91</v>
      </c>
      <c r="J14" s="38" t="str">
        <f>calc!B20&amp;""</f>
        <v>IN-10</v>
      </c>
      <c r="K14" s="37" t="str">
        <f>_xlfn.LET(_xlpm.x,INDEX(EnterData_8[Competencies],MATCH(J14,EnterData_8[Competency Num],0),1),IF(ISERROR(_xlpm.x),"",_xlpm.x))</f>
        <v>Is knowledgeable about the processes involved in developing and enhancing database applications.</v>
      </c>
      <c r="L14" s="294"/>
      <c r="M14" s="295"/>
      <c r="N14" s="296"/>
      <c r="O14" s="296"/>
      <c r="P14" s="20"/>
      <c r="Q14" s="20"/>
      <c r="R14" s="20"/>
      <c r="S14" s="20"/>
    </row>
    <row r="15" spans="1:19" ht="29" x14ac:dyDescent="0.35">
      <c r="A15" s="3">
        <v>9</v>
      </c>
      <c r="B15" s="25" t="s">
        <v>21</v>
      </c>
      <c r="C15" s="4" t="s">
        <v>22</v>
      </c>
      <c r="D15" s="58" t="s">
        <v>88</v>
      </c>
      <c r="E15" s="5" t="s">
        <v>189</v>
      </c>
      <c r="F15" s="289" t="s">
        <v>188</v>
      </c>
      <c r="G15" s="53"/>
      <c r="H15" s="25" t="s">
        <v>91</v>
      </c>
      <c r="J15" s="38" t="str">
        <f>calc!B21&amp;""</f>
        <v>IN-11</v>
      </c>
      <c r="K15" s="37" t="str">
        <f>_xlfn.LET(_xlpm.x,INDEX(EnterData_8[Competencies],MATCH(J15,EnterData_8[Competency Num],0),1),IF(ISERROR(_xlpm.x),"",_xlpm.x))</f>
        <v>Demonstrates the ability to lead a process for the development of a new data system or major enhancement.</v>
      </c>
      <c r="L15" s="294"/>
      <c r="M15" s="295"/>
      <c r="N15" s="296"/>
      <c r="O15" s="296"/>
      <c r="P15" s="20"/>
      <c r="Q15" s="20"/>
      <c r="R15" s="20"/>
      <c r="S15" s="20"/>
    </row>
    <row r="16" spans="1:19" ht="58" x14ac:dyDescent="0.35">
      <c r="A16" s="3">
        <v>10</v>
      </c>
      <c r="B16" s="319" t="s">
        <v>23</v>
      </c>
      <c r="C16" s="320" t="s">
        <v>24</v>
      </c>
      <c r="D16" s="299" t="s">
        <v>89</v>
      </c>
      <c r="E16" s="300" t="s">
        <v>189</v>
      </c>
      <c r="F16" s="301" t="s">
        <v>189</v>
      </c>
      <c r="G16" s="302"/>
      <c r="H16" s="25" t="s">
        <v>91</v>
      </c>
      <c r="J16" s="38" t="str">
        <f>calc!B22&amp;""</f>
        <v>IN-12</v>
      </c>
      <c r="K16" s="37" t="str">
        <f>_xlfn.LET(_xlpm.x,INDEX(EnterData_8[Competencies],MATCH(J16,EnterData_8[Competency Num],0),1),IF(ISERROR(_xlpm.x),"",_xlpm.x))</f>
        <v>Demonstrates ability to elicit and process stakeholder input about state data system(s)/applications and communicate that input to the technical team.</v>
      </c>
      <c r="L16" s="294"/>
      <c r="M16" s="295"/>
      <c r="N16" s="296"/>
      <c r="O16" s="296"/>
      <c r="P16" s="20"/>
      <c r="Q16" s="20"/>
      <c r="R16" s="20"/>
      <c r="S16" s="20"/>
    </row>
    <row r="17" spans="1:19" ht="58" x14ac:dyDescent="0.35">
      <c r="A17" s="6">
        <v>11</v>
      </c>
      <c r="B17" s="316" t="s">
        <v>25</v>
      </c>
      <c r="C17" s="317" t="s">
        <v>26</v>
      </c>
      <c r="D17" s="57" t="s">
        <v>87</v>
      </c>
      <c r="E17" s="2" t="s">
        <v>189</v>
      </c>
      <c r="F17" s="288" t="s">
        <v>188</v>
      </c>
      <c r="G17" s="318"/>
      <c r="H17" s="26" t="s">
        <v>92</v>
      </c>
      <c r="J17" s="38" t="str">
        <f>calc!B23&amp;""</f>
        <v>DC-3</v>
      </c>
      <c r="K17" s="37" t="str">
        <f>_xlfn.LET(_xlpm.x,INDEX(EnterData_8[Competencies],MATCH(J17,EnterData_8[Competency Num],0),1),IF(ISERROR(_xlpm.x),"",_xlpm.x))</f>
        <v>Demonstrates understanding of how to use data for accountability, program operations, and program improvement.</v>
      </c>
      <c r="L17" s="294"/>
      <c r="M17" s="295"/>
      <c r="N17" s="296"/>
      <c r="O17" s="296"/>
      <c r="P17" s="20"/>
      <c r="Q17" s="20"/>
      <c r="R17" s="20"/>
      <c r="S17" s="20"/>
    </row>
    <row r="18" spans="1:19" ht="29" x14ac:dyDescent="0.35">
      <c r="A18" s="6">
        <v>12</v>
      </c>
      <c r="B18" s="26" t="s">
        <v>27</v>
      </c>
      <c r="C18" s="7" t="s">
        <v>28</v>
      </c>
      <c r="D18" s="58" t="s">
        <v>87</v>
      </c>
      <c r="E18" s="5" t="s">
        <v>189</v>
      </c>
      <c r="F18" s="289" t="s">
        <v>188</v>
      </c>
      <c r="G18" s="53"/>
      <c r="H18" s="26" t="s">
        <v>92</v>
      </c>
      <c r="J18" s="38" t="str">
        <f>calc!B24&amp;""</f>
        <v>DC-4</v>
      </c>
      <c r="K18" s="37" t="str">
        <f>_xlfn.LET(_xlpm.x,INDEX(EnterData_8[Competencies],MATCH(J18,EnterData_8[Competency Num],0),1),IF(ISERROR(_xlpm.x),"",_xlpm.x))</f>
        <v>Demonstrates the ability to establish a data culture through norms and expectations for the ongoing use of data.</v>
      </c>
      <c r="L18" s="294"/>
      <c r="M18" s="295"/>
      <c r="N18" s="296"/>
      <c r="O18" s="296"/>
      <c r="P18" s="20"/>
      <c r="Q18" s="20"/>
      <c r="R18" s="20"/>
      <c r="S18" s="20"/>
    </row>
    <row r="19" spans="1:19" ht="43.5" x14ac:dyDescent="0.35">
      <c r="A19" s="6">
        <v>13</v>
      </c>
      <c r="B19" s="26" t="s">
        <v>29</v>
      </c>
      <c r="C19" s="7" t="s">
        <v>30</v>
      </c>
      <c r="D19" s="58" t="s">
        <v>87</v>
      </c>
      <c r="E19" s="5" t="s">
        <v>189</v>
      </c>
      <c r="F19" s="289"/>
      <c r="G19" s="53"/>
      <c r="H19" s="26" t="s">
        <v>92</v>
      </c>
      <c r="J19" s="38" t="str">
        <f>calc!B25&amp;""</f>
        <v>DC-5</v>
      </c>
      <c r="K19" s="37" t="str">
        <f>_xlfn.LET(_xlpm.x,INDEX(EnterData_8[Competencies],MATCH(J19,EnterData_8[Competency Num],0),1),IF(ISERROR(_xlpm.x),"",_xlpm.x))</f>
        <v>Demonstrates ability to implement an approach to data-based decision-making (e.g., Plan-Do-Study-Act).</v>
      </c>
      <c r="L19" s="294"/>
      <c r="M19" s="295"/>
      <c r="N19" s="296"/>
      <c r="O19" s="296"/>
      <c r="P19" s="20"/>
      <c r="Q19" s="20"/>
      <c r="R19" s="20"/>
      <c r="S19" s="20"/>
    </row>
    <row r="20" spans="1:19" ht="43.5" x14ac:dyDescent="0.35">
      <c r="A20" s="6">
        <v>14</v>
      </c>
      <c r="B20" s="26" t="s">
        <v>31</v>
      </c>
      <c r="C20" s="7" t="s">
        <v>32</v>
      </c>
      <c r="D20" s="58" t="s">
        <v>89</v>
      </c>
      <c r="E20" s="5" t="s">
        <v>188</v>
      </c>
      <c r="F20" s="289" t="s">
        <v>188</v>
      </c>
      <c r="G20" s="53"/>
      <c r="H20" s="26" t="s">
        <v>92</v>
      </c>
      <c r="J20" s="38" t="str">
        <f>calc!B26&amp;""</f>
        <v>DC-6</v>
      </c>
      <c r="K20" s="37" t="str">
        <f>_xlfn.LET(_xlpm.x,INDEX(EnterData_8[Competencies],MATCH(J20,EnterData_8[Competency Num],0),1),IF(ISERROR(_xlpm.x),"",_xlpm.x))</f>
        <v>Demonstrates ability to lead team members and stakeholders in discussions about the interpretation of program data (e.g., 616, 618, other) and development of action steps in response to what was learned from the analysis.</v>
      </c>
      <c r="L20" s="294"/>
      <c r="M20" s="295"/>
      <c r="N20" s="296"/>
      <c r="O20" s="296"/>
      <c r="P20" s="20"/>
      <c r="Q20" s="20"/>
      <c r="R20" s="20"/>
      <c r="S20" s="20"/>
    </row>
    <row r="21" spans="1:19" ht="58" x14ac:dyDescent="0.35">
      <c r="A21" s="6">
        <v>15</v>
      </c>
      <c r="B21" s="26" t="s">
        <v>33</v>
      </c>
      <c r="C21" s="7" t="s">
        <v>34</v>
      </c>
      <c r="D21" s="58" t="s">
        <v>89</v>
      </c>
      <c r="E21" s="5" t="s">
        <v>189</v>
      </c>
      <c r="F21" s="289" t="s">
        <v>189</v>
      </c>
      <c r="G21" s="53"/>
      <c r="H21" s="26" t="s">
        <v>92</v>
      </c>
      <c r="J21" s="38" t="str">
        <f>calc!B27&amp;""</f>
        <v>DC-7</v>
      </c>
      <c r="K21" s="37" t="str">
        <f>_xlfn.LET(_xlpm.x,INDEX(EnterData_8[Competencies],MATCH(J21,EnterData_8[Competency Num],0),1),IF(ISERROR(_xlpm.x),"",_xlpm.x))</f>
        <v>Demonstrates the ability to make effective and timely decisions based on available data even when those data are limited and infer the implications of those decisions.</v>
      </c>
      <c r="L21" s="294"/>
      <c r="M21" s="295"/>
      <c r="N21" s="296"/>
      <c r="O21" s="296"/>
      <c r="P21" s="20"/>
      <c r="Q21" s="20"/>
      <c r="R21" s="20"/>
      <c r="S21" s="20"/>
    </row>
    <row r="22" spans="1:19" ht="29" x14ac:dyDescent="0.35">
      <c r="A22" s="6">
        <v>16</v>
      </c>
      <c r="B22" s="26" t="s">
        <v>35</v>
      </c>
      <c r="C22" s="7" t="s">
        <v>36</v>
      </c>
      <c r="D22" s="58" t="s">
        <v>87</v>
      </c>
      <c r="E22" s="5" t="s">
        <v>189</v>
      </c>
      <c r="F22" s="289"/>
      <c r="G22" s="53"/>
      <c r="H22" s="26" t="s">
        <v>92</v>
      </c>
      <c r="J22" s="38" t="str">
        <f>calc!B28&amp;""</f>
        <v>DC-8</v>
      </c>
      <c r="K22" s="37" t="str">
        <f>_xlfn.LET(_xlpm.x,INDEX(EnterData_8[Competencies],MATCH(J22,EnterData_8[Competency Num],0),1),IF(ISERROR(_xlpm.x),"",_xlpm.x))</f>
        <v>Demonstrates the ability to use data to ensure the provision of services and supports, and positive outcomes for all children with developmental delays and disabilities and their families.</v>
      </c>
      <c r="L22" s="294"/>
      <c r="M22" s="295"/>
      <c r="N22" s="296"/>
      <c r="O22" s="296"/>
      <c r="P22" s="20"/>
      <c r="Q22" s="20"/>
      <c r="R22" s="20"/>
      <c r="S22" s="20"/>
    </row>
    <row r="23" spans="1:19" ht="43.5" x14ac:dyDescent="0.35">
      <c r="A23" s="6">
        <v>17</v>
      </c>
      <c r="B23" s="26" t="s">
        <v>37</v>
      </c>
      <c r="C23" s="7" t="s">
        <v>38</v>
      </c>
      <c r="D23" s="58" t="s">
        <v>88</v>
      </c>
      <c r="E23" s="5" t="s">
        <v>189</v>
      </c>
      <c r="F23" s="289" t="s">
        <v>189</v>
      </c>
      <c r="G23" s="53"/>
      <c r="H23" s="26" t="s">
        <v>92</v>
      </c>
      <c r="J23" s="38" t="str">
        <f>calc!B29&amp;""</f>
        <v>DC-9</v>
      </c>
      <c r="K23" s="37" t="str">
        <f>_xlfn.LET(_xlpm.x,INDEX(EnterData_8[Competencies],MATCH(J23,EnterData_8[Competency Num],0),1),IF(ISERROR(_xlpm.x),"",_xlpm.x))</f>
        <v>Demonstrates the ability to use fiscal data to address the current and future needs of the program e.g., budget development, utilization and allocation of funding sources, and fiscal monitoring.</v>
      </c>
      <c r="L23" s="294"/>
      <c r="M23" s="295"/>
      <c r="N23" s="296"/>
      <c r="O23" s="296"/>
      <c r="P23" s="20"/>
      <c r="Q23" s="20"/>
      <c r="R23" s="20"/>
      <c r="S23" s="20"/>
    </row>
    <row r="24" spans="1:19" ht="43.5" x14ac:dyDescent="0.35">
      <c r="A24" s="6">
        <v>18</v>
      </c>
      <c r="B24" s="26" t="s">
        <v>39</v>
      </c>
      <c r="C24" s="7" t="s">
        <v>40</v>
      </c>
      <c r="D24" s="58" t="s">
        <v>89</v>
      </c>
      <c r="E24" s="5" t="s">
        <v>188</v>
      </c>
      <c r="F24" s="289" t="s">
        <v>188</v>
      </c>
      <c r="G24" s="53"/>
      <c r="H24" s="26" t="s">
        <v>92</v>
      </c>
      <c r="J24" s="38" t="str">
        <f>calc!B30&amp;""</f>
        <v>DC-10</v>
      </c>
      <c r="K24" s="37" t="str">
        <f>_xlfn.LET(_xlpm.x,INDEX(EnterData_8[Competencies],MATCH(J24,EnterData_8[Competency Num],0),1),IF(ISERROR(_xlpm.x),"",_xlpm.x))</f>
        <v>Demonstrates the ability to use workforce data to inform the development and maintenance of a comprehensive system of personnel development.</v>
      </c>
      <c r="L24" s="294"/>
      <c r="M24" s="295"/>
      <c r="N24" s="296"/>
      <c r="O24" s="296"/>
      <c r="P24" s="20"/>
      <c r="Q24" s="20"/>
      <c r="R24" s="20"/>
      <c r="S24" s="20"/>
    </row>
    <row r="25" spans="1:19" ht="43.5" x14ac:dyDescent="0.35">
      <c r="A25" s="6">
        <v>19</v>
      </c>
      <c r="B25" s="26" t="s">
        <v>41</v>
      </c>
      <c r="C25" s="7" t="s">
        <v>42</v>
      </c>
      <c r="D25" s="58" t="s">
        <v>87</v>
      </c>
      <c r="E25" s="5" t="s">
        <v>189</v>
      </c>
      <c r="F25" s="289"/>
      <c r="G25" s="53"/>
      <c r="H25" s="26" t="s">
        <v>92</v>
      </c>
      <c r="J25" s="38" t="str">
        <f>calc!B31&amp;""</f>
        <v>DC-12</v>
      </c>
      <c r="K25" s="37" t="str">
        <f>_xlfn.LET(_xlpm.x,INDEX(EnterData_8[Competencies],MATCH(J25,EnterData_8[Competency Num],0),1),IF(ISERROR(_xlpm.x),"",_xlpm.x))</f>
        <v>Demonstrates the ability to support local programs and districts to build a culture of data use.</v>
      </c>
      <c r="L25" s="294"/>
      <c r="M25" s="295"/>
      <c r="N25" s="296"/>
      <c r="O25" s="296"/>
      <c r="P25" s="20"/>
      <c r="Q25" s="20"/>
      <c r="R25" s="20"/>
      <c r="S25" s="20"/>
    </row>
    <row r="26" spans="1:19" ht="29" x14ac:dyDescent="0.35">
      <c r="A26" s="6">
        <v>20</v>
      </c>
      <c r="B26" s="26" t="s">
        <v>43</v>
      </c>
      <c r="C26" s="7" t="s">
        <v>44</v>
      </c>
      <c r="D26" s="58" t="s">
        <v>88</v>
      </c>
      <c r="E26" s="5" t="s">
        <v>189</v>
      </c>
      <c r="F26" s="289" t="s">
        <v>189</v>
      </c>
      <c r="G26" s="53"/>
      <c r="H26" s="26" t="s">
        <v>92</v>
      </c>
      <c r="J26" s="38" t="str">
        <f>calc!B32&amp;""</f>
        <v/>
      </c>
      <c r="K26" s="37" t="str">
        <f>_xlfn.LET(_xlpm.x,INDEX(EnterData_8[Competencies],MATCH(J26,EnterData_8[Competency Num],0),1),IF(ISERROR(_xlpm.x),"",_xlpm.x))</f>
        <v/>
      </c>
      <c r="L26" s="294"/>
      <c r="M26" s="295"/>
      <c r="N26" s="296"/>
      <c r="O26" s="296"/>
      <c r="P26" s="20"/>
      <c r="Q26" s="20"/>
      <c r="R26" s="20"/>
      <c r="S26" s="20"/>
    </row>
    <row r="27" spans="1:19" ht="29" x14ac:dyDescent="0.35">
      <c r="A27" s="6">
        <v>21</v>
      </c>
      <c r="B27" s="26" t="s">
        <v>45</v>
      </c>
      <c r="C27" s="7" t="s">
        <v>46</v>
      </c>
      <c r="D27" s="58" t="s">
        <v>88</v>
      </c>
      <c r="E27" s="5" t="s">
        <v>189</v>
      </c>
      <c r="F27" s="289" t="s">
        <v>189</v>
      </c>
      <c r="G27" s="53"/>
      <c r="H27" s="26" t="s">
        <v>92</v>
      </c>
      <c r="J27" s="38" t="str">
        <f>calc!B33&amp;""</f>
        <v/>
      </c>
      <c r="K27" s="37" t="str">
        <f>_xlfn.LET(_xlpm.x,INDEX(EnterData_8[Competencies],MATCH(J27,EnterData_8[Competency Num],0),1),IF(ISERROR(_xlpm.x),"",_xlpm.x))</f>
        <v/>
      </c>
      <c r="L27" s="294"/>
      <c r="M27" s="295"/>
      <c r="N27" s="296"/>
      <c r="O27" s="296"/>
      <c r="P27" s="20"/>
      <c r="Q27" s="20"/>
      <c r="R27" s="20"/>
      <c r="S27" s="20"/>
    </row>
    <row r="28" spans="1:19" ht="43.5" x14ac:dyDescent="0.35">
      <c r="A28" s="6">
        <v>22</v>
      </c>
      <c r="B28" s="26" t="s">
        <v>47</v>
      </c>
      <c r="C28" s="7" t="s">
        <v>48</v>
      </c>
      <c r="D28" s="58" t="s">
        <v>88</v>
      </c>
      <c r="E28" s="5" t="s">
        <v>189</v>
      </c>
      <c r="F28" s="289" t="s">
        <v>189</v>
      </c>
      <c r="G28" s="53"/>
      <c r="H28" s="26" t="s">
        <v>92</v>
      </c>
      <c r="J28" s="38" t="str">
        <f>calc!B34&amp;""</f>
        <v/>
      </c>
      <c r="K28" s="37" t="str">
        <f>_xlfn.LET(_xlpm.x,INDEX(EnterData_8[Competencies],MATCH(J28,EnterData_8[Competency Num],0),1),IF(ISERROR(_xlpm.x),"",_xlpm.x))</f>
        <v/>
      </c>
      <c r="L28" s="294"/>
      <c r="M28" s="295"/>
      <c r="N28" s="296"/>
      <c r="O28" s="296"/>
      <c r="P28" s="20"/>
      <c r="Q28" s="20"/>
      <c r="R28" s="20"/>
      <c r="S28" s="20"/>
    </row>
    <row r="29" spans="1:19" ht="43.5" x14ac:dyDescent="0.35">
      <c r="A29" s="6">
        <v>23</v>
      </c>
      <c r="B29" s="322" t="s">
        <v>49</v>
      </c>
      <c r="C29" s="323" t="s">
        <v>50</v>
      </c>
      <c r="D29" s="299" t="s">
        <v>87</v>
      </c>
      <c r="E29" s="300" t="s">
        <v>189</v>
      </c>
      <c r="F29" s="301"/>
      <c r="G29" s="302"/>
      <c r="H29" s="26" t="s">
        <v>92</v>
      </c>
      <c r="J29" s="38" t="str">
        <f>calc!B35&amp;""</f>
        <v/>
      </c>
      <c r="K29" s="37" t="str">
        <f>_xlfn.LET(_xlpm.x,INDEX(EnterData_8[Competencies],MATCH(J29,EnterData_8[Competency Num],0),1),IF(ISERROR(_xlpm.x),"",_xlpm.x))</f>
        <v/>
      </c>
      <c r="L29" s="294"/>
      <c r="M29" s="295"/>
      <c r="N29" s="296"/>
      <c r="O29" s="296"/>
      <c r="P29" s="20"/>
      <c r="Q29" s="20"/>
      <c r="R29" s="20"/>
      <c r="S29" s="20"/>
    </row>
    <row r="30" spans="1:19" ht="29" x14ac:dyDescent="0.35">
      <c r="A30" s="8">
        <v>24</v>
      </c>
      <c r="B30" s="321" t="s">
        <v>51</v>
      </c>
      <c r="C30" s="21" t="s">
        <v>52</v>
      </c>
      <c r="D30" s="57" t="s">
        <v>88</v>
      </c>
      <c r="E30" s="2" t="s">
        <v>188</v>
      </c>
      <c r="F30" s="288" t="s">
        <v>188</v>
      </c>
      <c r="G30" s="318"/>
      <c r="H30" s="27" t="s">
        <v>93</v>
      </c>
      <c r="J30" s="38" t="str">
        <f>calc!B36&amp;""</f>
        <v/>
      </c>
      <c r="K30" s="37" t="str">
        <f>_xlfn.LET(_xlpm.x,INDEX(EnterData_8[Competencies],MATCH(J30,EnterData_8[Competency Num],0),1),IF(ISERROR(_xlpm.x),"",_xlpm.x))</f>
        <v/>
      </c>
      <c r="L30" s="294"/>
      <c r="M30" s="295"/>
      <c r="N30" s="296"/>
      <c r="O30" s="296"/>
      <c r="P30" s="20"/>
      <c r="Q30" s="20"/>
      <c r="R30" s="20"/>
      <c r="S30" s="20"/>
    </row>
    <row r="31" spans="1:19" ht="43.5" x14ac:dyDescent="0.35">
      <c r="A31" s="8">
        <v>25</v>
      </c>
      <c r="B31" s="27" t="s">
        <v>53</v>
      </c>
      <c r="C31" s="4" t="s">
        <v>54</v>
      </c>
      <c r="D31" s="58" t="s">
        <v>87</v>
      </c>
      <c r="E31" s="5" t="s">
        <v>189</v>
      </c>
      <c r="F31" s="289"/>
      <c r="G31" s="53"/>
      <c r="H31" s="27" t="s">
        <v>93</v>
      </c>
      <c r="J31" s="38" t="str">
        <f>calc!B37&amp;""</f>
        <v/>
      </c>
      <c r="K31" s="37" t="str">
        <f>_xlfn.LET(_xlpm.x,INDEX(EnterData_8[Competencies],MATCH(J31,EnterData_8[Competency Num],0),1),IF(ISERROR(_xlpm.x),"",_xlpm.x))</f>
        <v/>
      </c>
      <c r="L31" s="294"/>
      <c r="M31" s="295"/>
      <c r="N31" s="296"/>
      <c r="O31" s="296"/>
      <c r="P31" s="20"/>
      <c r="Q31" s="20"/>
      <c r="R31" s="20"/>
      <c r="S31" s="20"/>
    </row>
    <row r="32" spans="1:19" ht="29" x14ac:dyDescent="0.35">
      <c r="A32" s="8">
        <v>26</v>
      </c>
      <c r="B32" s="27" t="s">
        <v>55</v>
      </c>
      <c r="C32" s="4" t="s">
        <v>56</v>
      </c>
      <c r="D32" s="58" t="s">
        <v>88</v>
      </c>
      <c r="E32" s="5" t="s">
        <v>189</v>
      </c>
      <c r="F32" s="289" t="s">
        <v>189</v>
      </c>
      <c r="G32" s="53"/>
      <c r="H32" s="27" t="s">
        <v>93</v>
      </c>
      <c r="J32" s="38" t="str">
        <f>calc!B38&amp;""</f>
        <v/>
      </c>
      <c r="K32" s="37" t="str">
        <f>_xlfn.LET(_xlpm.x,INDEX(EnterData_8[Competencies],MATCH(J32,EnterData_8[Competency Num],0),1),IF(ISERROR(_xlpm.x),"",_xlpm.x))</f>
        <v/>
      </c>
      <c r="L32" s="294"/>
      <c r="M32" s="295"/>
      <c r="N32" s="296"/>
      <c r="O32" s="296"/>
      <c r="P32" s="20"/>
      <c r="Q32" s="20"/>
      <c r="R32" s="20"/>
      <c r="S32" s="20"/>
    </row>
    <row r="33" spans="1:19" ht="29" x14ac:dyDescent="0.35">
      <c r="A33" s="8">
        <v>27</v>
      </c>
      <c r="B33" s="27" t="s">
        <v>57</v>
      </c>
      <c r="C33" s="4" t="s">
        <v>58</v>
      </c>
      <c r="D33" s="58" t="s">
        <v>89</v>
      </c>
      <c r="E33" s="5" t="s">
        <v>189</v>
      </c>
      <c r="F33" s="289" t="s">
        <v>189</v>
      </c>
      <c r="G33" s="53"/>
      <c r="H33" s="27" t="s">
        <v>93</v>
      </c>
      <c r="J33" s="38" t="str">
        <f>calc!B39&amp;""</f>
        <v/>
      </c>
      <c r="K33" s="37" t="str">
        <f>_xlfn.LET(_xlpm.x,INDEX(EnterData_8[Competencies],MATCH(J33,EnterData_8[Competency Num],0),1),IF(ISERROR(_xlpm.x),"",_xlpm.x))</f>
        <v/>
      </c>
      <c r="L33" s="294"/>
      <c r="M33" s="295"/>
      <c r="N33" s="296"/>
      <c r="O33" s="296"/>
      <c r="P33" s="20"/>
      <c r="Q33" s="20"/>
      <c r="R33" s="20"/>
      <c r="S33" s="20"/>
    </row>
    <row r="34" spans="1:19" ht="29" x14ac:dyDescent="0.35">
      <c r="A34" s="8">
        <v>28</v>
      </c>
      <c r="B34" s="27" t="s">
        <v>59</v>
      </c>
      <c r="C34" s="4" t="s">
        <v>60</v>
      </c>
      <c r="D34" s="58" t="s">
        <v>88</v>
      </c>
      <c r="E34" s="5" t="s">
        <v>189</v>
      </c>
      <c r="F34" s="289" t="s">
        <v>189</v>
      </c>
      <c r="G34" s="53"/>
      <c r="H34" s="27" t="s">
        <v>93</v>
      </c>
      <c r="J34" s="38" t="str">
        <f>calc!B40&amp;""</f>
        <v/>
      </c>
      <c r="K34" s="37" t="str">
        <f>_xlfn.LET(_xlpm.x,INDEX(EnterData_8[Competencies],MATCH(J34,EnterData_8[Competency Num],0),1),IF(ISERROR(_xlpm.x),"",_xlpm.x))</f>
        <v/>
      </c>
      <c r="L34" s="294"/>
      <c r="M34" s="295"/>
      <c r="N34" s="296"/>
      <c r="O34" s="296"/>
      <c r="P34" s="20"/>
      <c r="Q34" s="20"/>
      <c r="R34" s="20"/>
      <c r="S34" s="20"/>
    </row>
    <row r="35" spans="1:19" ht="58" x14ac:dyDescent="0.35">
      <c r="A35" s="8">
        <v>29</v>
      </c>
      <c r="B35" s="27" t="s">
        <v>61</v>
      </c>
      <c r="C35" s="4" t="s">
        <v>62</v>
      </c>
      <c r="D35" s="58" t="s">
        <v>88</v>
      </c>
      <c r="E35" s="5" t="s">
        <v>189</v>
      </c>
      <c r="F35" s="289" t="s">
        <v>189</v>
      </c>
      <c r="G35" s="53"/>
      <c r="H35" s="27" t="s">
        <v>93</v>
      </c>
      <c r="J35" s="38" t="str">
        <f>calc!B41&amp;""</f>
        <v/>
      </c>
      <c r="K35" s="37" t="str">
        <f>_xlfn.LET(_xlpm.x,INDEX(EnterData_8[Competencies],MATCH(J35,EnterData_8[Competency Num],0),1),IF(ISERROR(_xlpm.x),"",_xlpm.x))</f>
        <v/>
      </c>
      <c r="L35" s="294"/>
      <c r="M35" s="295"/>
      <c r="N35" s="296"/>
      <c r="O35" s="296"/>
      <c r="P35" s="20"/>
      <c r="Q35" s="20"/>
      <c r="R35" s="20"/>
      <c r="S35" s="20"/>
    </row>
    <row r="36" spans="1:19" ht="43.5" x14ac:dyDescent="0.35">
      <c r="A36" s="8">
        <v>30</v>
      </c>
      <c r="B36" s="27" t="s">
        <v>63</v>
      </c>
      <c r="C36" s="4" t="s">
        <v>64</v>
      </c>
      <c r="D36" s="58" t="s">
        <v>88</v>
      </c>
      <c r="E36" s="5" t="s">
        <v>189</v>
      </c>
      <c r="F36" s="289" t="s">
        <v>189</v>
      </c>
      <c r="G36" s="53"/>
      <c r="H36" s="27" t="s">
        <v>93</v>
      </c>
      <c r="J36" s="38" t="str">
        <f>calc!B42&amp;""</f>
        <v/>
      </c>
      <c r="K36" s="37" t="str">
        <f>_xlfn.LET(_xlpm.x,INDEX(EnterData_8[Competencies],MATCH(J36,EnterData_8[Competency Num],0),1),IF(ISERROR(_xlpm.x),"",_xlpm.x))</f>
        <v/>
      </c>
      <c r="L36" s="294"/>
      <c r="M36" s="295"/>
      <c r="N36" s="296"/>
      <c r="O36" s="296"/>
      <c r="P36" s="20"/>
      <c r="Q36" s="20"/>
      <c r="R36" s="20"/>
      <c r="S36" s="20"/>
    </row>
    <row r="37" spans="1:19" ht="43.5" x14ac:dyDescent="0.35">
      <c r="A37" s="8">
        <v>31</v>
      </c>
      <c r="B37" s="27" t="s">
        <v>65</v>
      </c>
      <c r="C37" s="4" t="s">
        <v>66</v>
      </c>
      <c r="D37" s="58" t="s">
        <v>88</v>
      </c>
      <c r="E37" s="5" t="s">
        <v>189</v>
      </c>
      <c r="F37" s="289" t="s">
        <v>189</v>
      </c>
      <c r="G37" s="53"/>
      <c r="H37" s="27" t="s">
        <v>93</v>
      </c>
      <c r="J37" s="38" t="str">
        <f>calc!B43&amp;""</f>
        <v/>
      </c>
      <c r="K37" s="37" t="str">
        <f>_xlfn.LET(_xlpm.x,INDEX(EnterData_8[Competencies],MATCH(J37,EnterData_8[Competency Num],0),1),IF(ISERROR(_xlpm.x),"",_xlpm.x))</f>
        <v/>
      </c>
      <c r="L37" s="294"/>
      <c r="M37" s="295"/>
      <c r="N37" s="296"/>
      <c r="O37" s="296"/>
      <c r="P37" s="20"/>
      <c r="Q37" s="20"/>
      <c r="R37" s="20"/>
      <c r="S37" s="20"/>
    </row>
    <row r="38" spans="1:19" ht="58" x14ac:dyDescent="0.35">
      <c r="A38" s="8">
        <v>32</v>
      </c>
      <c r="B38" s="27" t="s">
        <v>67</v>
      </c>
      <c r="C38" s="4" t="s">
        <v>68</v>
      </c>
      <c r="D38" s="58" t="s">
        <v>88</v>
      </c>
      <c r="E38" s="5" t="s">
        <v>189</v>
      </c>
      <c r="F38" s="289" t="s">
        <v>189</v>
      </c>
      <c r="G38" s="53"/>
      <c r="H38" s="27" t="s">
        <v>93</v>
      </c>
      <c r="J38" s="38" t="str">
        <f>calc!B44&amp;""</f>
        <v/>
      </c>
      <c r="K38" s="37" t="str">
        <f>_xlfn.LET(_xlpm.x,INDEX(EnterData_8[Competencies],MATCH(J38,EnterData_8[Competency Num],0),1),IF(ISERROR(_xlpm.x),"",_xlpm.x))</f>
        <v/>
      </c>
      <c r="L38" s="294"/>
      <c r="M38" s="295"/>
      <c r="N38" s="296"/>
      <c r="O38" s="296"/>
      <c r="P38" s="20"/>
      <c r="Q38" s="20"/>
      <c r="R38" s="20"/>
      <c r="S38" s="20"/>
    </row>
    <row r="39" spans="1:19" ht="43.5" x14ac:dyDescent="0.35">
      <c r="A39" s="8">
        <v>33</v>
      </c>
      <c r="B39" s="27" t="s">
        <v>69</v>
      </c>
      <c r="C39" s="4" t="s">
        <v>70</v>
      </c>
      <c r="D39" s="58" t="s">
        <v>88</v>
      </c>
      <c r="E39" s="5" t="s">
        <v>189</v>
      </c>
      <c r="F39" s="289" t="s">
        <v>189</v>
      </c>
      <c r="G39" s="53"/>
      <c r="H39" s="27" t="s">
        <v>93</v>
      </c>
      <c r="J39" s="38" t="str">
        <f>calc!B45&amp;""</f>
        <v/>
      </c>
      <c r="K39" s="37" t="str">
        <f>_xlfn.LET(_xlpm.x,INDEX(EnterData_8[Competencies],MATCH(J39,EnterData_8[Competency Num],0),1),IF(ISERROR(_xlpm.x),"",_xlpm.x))</f>
        <v/>
      </c>
      <c r="L39" s="294"/>
      <c r="M39" s="295"/>
      <c r="N39" s="296"/>
      <c r="O39" s="296"/>
      <c r="P39" s="20"/>
      <c r="Q39" s="20"/>
      <c r="R39" s="20"/>
      <c r="S39" s="20"/>
    </row>
    <row r="40" spans="1:19" ht="43.5" x14ac:dyDescent="0.35">
      <c r="A40" s="8">
        <v>34</v>
      </c>
      <c r="B40" s="27" t="s">
        <v>71</v>
      </c>
      <c r="C40" s="4" t="s">
        <v>72</v>
      </c>
      <c r="D40" s="58" t="s">
        <v>87</v>
      </c>
      <c r="E40" s="5" t="s">
        <v>189</v>
      </c>
      <c r="F40" s="289"/>
      <c r="G40" s="53"/>
      <c r="H40" s="27" t="s">
        <v>93</v>
      </c>
      <c r="J40" s="38" t="str">
        <f>calc!B46&amp;""</f>
        <v/>
      </c>
      <c r="K40" s="37" t="str">
        <f>_xlfn.LET(_xlpm.x,INDEX(EnterData_8[Competencies],MATCH(J40,EnterData_8[Competency Num],0),1),IF(ISERROR(_xlpm.x),"",_xlpm.x))</f>
        <v/>
      </c>
      <c r="L40" s="294"/>
      <c r="M40" s="295"/>
      <c r="N40" s="296"/>
      <c r="O40" s="296"/>
      <c r="P40" s="20"/>
      <c r="Q40" s="20"/>
      <c r="R40" s="20"/>
      <c r="S40" s="20"/>
    </row>
    <row r="41" spans="1:19" ht="29" x14ac:dyDescent="0.35">
      <c r="A41" s="8">
        <v>35</v>
      </c>
      <c r="B41" s="27" t="s">
        <v>73</v>
      </c>
      <c r="C41" s="4" t="s">
        <v>74</v>
      </c>
      <c r="D41" s="58" t="s">
        <v>88</v>
      </c>
      <c r="E41" s="5" t="s">
        <v>189</v>
      </c>
      <c r="F41" s="289" t="s">
        <v>189</v>
      </c>
      <c r="G41" s="53"/>
      <c r="H41" s="27" t="s">
        <v>93</v>
      </c>
      <c r="J41" s="38" t="str">
        <f>calc!B47&amp;""</f>
        <v/>
      </c>
      <c r="K41" s="37" t="str">
        <f>_xlfn.LET(_xlpm.x,INDEX(EnterData_8[Competencies],MATCH(J41,EnterData_8[Competency Num],0),1),IF(ISERROR(_xlpm.x),"",_xlpm.x))</f>
        <v/>
      </c>
      <c r="L41" s="294"/>
      <c r="M41" s="295"/>
      <c r="N41" s="296"/>
      <c r="O41" s="296"/>
      <c r="P41" s="20"/>
      <c r="Q41" s="20"/>
      <c r="R41" s="20"/>
      <c r="S41" s="20"/>
    </row>
    <row r="42" spans="1:19" ht="43.5" x14ac:dyDescent="0.35">
      <c r="A42" s="9">
        <v>36</v>
      </c>
      <c r="B42" s="29" t="s">
        <v>75</v>
      </c>
      <c r="C42" s="42" t="s">
        <v>76</v>
      </c>
      <c r="D42" s="59" t="s">
        <v>89</v>
      </c>
      <c r="E42" s="30" t="s">
        <v>188</v>
      </c>
      <c r="F42" s="290" t="s">
        <v>188</v>
      </c>
      <c r="G42" s="54"/>
      <c r="H42" s="29" t="s">
        <v>93</v>
      </c>
      <c r="J42" s="38" t="str">
        <f>calc!B48&amp;""</f>
        <v/>
      </c>
      <c r="K42" s="37" t="str">
        <f>_xlfn.LET(_xlpm.x,INDEX(EnterData_8[Competencies],MATCH(J42,EnterData_8[Competency Num],0),1),IF(ISERROR(_xlpm.x),"",_xlpm.x))</f>
        <v/>
      </c>
      <c r="L42" s="294"/>
      <c r="M42" s="295"/>
      <c r="N42" s="296"/>
      <c r="O42" s="296"/>
      <c r="P42" s="20"/>
      <c r="Q42" s="20"/>
      <c r="R42" s="20"/>
      <c r="S42" s="20"/>
    </row>
    <row r="43" spans="1:19" x14ac:dyDescent="0.35">
      <c r="A43" s="20"/>
      <c r="B43" s="55"/>
      <c r="C43" s="10"/>
      <c r="D43" s="10"/>
      <c r="E43" s="10"/>
      <c r="F43" s="20"/>
      <c r="G43" s="20"/>
      <c r="H43" s="20"/>
      <c r="I43" s="20"/>
      <c r="J43" s="20"/>
      <c r="K43" s="20"/>
      <c r="L43" s="20"/>
      <c r="M43" s="20"/>
      <c r="N43" s="20"/>
      <c r="O43" s="20"/>
      <c r="P43" s="20"/>
      <c r="Q43" s="20"/>
      <c r="R43" s="20"/>
      <c r="S43" s="20"/>
    </row>
    <row r="44" spans="1:19" x14ac:dyDescent="0.35">
      <c r="A44" s="20"/>
      <c r="B44" s="56" t="s">
        <v>77</v>
      </c>
      <c r="C44" s="384" t="s">
        <v>78</v>
      </c>
      <c r="D44" s="11" t="s">
        <v>79</v>
      </c>
      <c r="E44" s="65" t="s">
        <v>80</v>
      </c>
      <c r="F44" s="65"/>
      <c r="G44" s="20"/>
      <c r="H44" s="20"/>
      <c r="I44" s="20"/>
      <c r="J44" s="20"/>
      <c r="K44" s="20"/>
      <c r="L44" s="20"/>
      <c r="M44" s="20"/>
      <c r="N44" s="20"/>
      <c r="O44" s="20"/>
      <c r="P44" s="20"/>
      <c r="Q44" s="20"/>
      <c r="R44" s="20"/>
      <c r="S44" s="20"/>
    </row>
    <row r="45" spans="1:19" x14ac:dyDescent="0.35">
      <c r="A45" s="20"/>
      <c r="B45" s="23" t="s">
        <v>89</v>
      </c>
      <c r="C45" s="385" t="s">
        <v>191</v>
      </c>
      <c r="D45" s="12" cm="1">
        <f t="array" ref="D45:D47">_xlfn.ANCHORARRAY(D50)+_xlfn.ANCHORARRAY(D55)+_xlfn.ANCHORARRAY(D60)</f>
        <v>8</v>
      </c>
      <c r="E45" s="66" cm="1">
        <f t="array" ref="E45:E47">_xlfn.ANCHORARRAY(E50)+_xlfn.ANCHORARRAY(E55)+_xlfn.ANCHORARRAY(E60)</f>
        <v>5</v>
      </c>
      <c r="F45" s="66"/>
      <c r="G45" s="20"/>
      <c r="H45" s="20"/>
      <c r="I45" s="20"/>
      <c r="J45" s="20"/>
      <c r="K45" s="20"/>
      <c r="L45" s="20"/>
      <c r="M45" s="20"/>
      <c r="N45" s="20"/>
      <c r="O45" s="20"/>
      <c r="P45" s="20"/>
      <c r="Q45" s="20"/>
      <c r="R45" s="20"/>
      <c r="S45" s="20"/>
    </row>
    <row r="46" spans="1:19" x14ac:dyDescent="0.35">
      <c r="A46" s="20"/>
      <c r="B46" s="23" t="s">
        <v>88</v>
      </c>
      <c r="C46" s="386" t="s">
        <v>193</v>
      </c>
      <c r="D46" s="13">
        <v>17</v>
      </c>
      <c r="E46" s="67">
        <v>15</v>
      </c>
      <c r="F46" s="67"/>
      <c r="G46" s="20"/>
      <c r="H46" s="20"/>
      <c r="I46" s="20"/>
      <c r="J46" s="20"/>
      <c r="K46" s="20"/>
      <c r="L46" s="20"/>
      <c r="M46" s="20"/>
      <c r="N46" s="20"/>
      <c r="O46" s="20"/>
      <c r="P46" s="20"/>
      <c r="Q46" s="20"/>
      <c r="R46" s="20"/>
      <c r="S46" s="20"/>
    </row>
    <row r="47" spans="1:19" x14ac:dyDescent="0.35">
      <c r="A47" s="20"/>
      <c r="B47" s="23" t="s">
        <v>87</v>
      </c>
      <c r="C47" s="387" t="s">
        <v>195</v>
      </c>
      <c r="D47" s="14">
        <v>11</v>
      </c>
      <c r="E47" s="68">
        <v>11</v>
      </c>
      <c r="F47" s="68"/>
      <c r="G47" s="20"/>
      <c r="H47" s="20"/>
      <c r="I47" s="20"/>
      <c r="J47" s="20"/>
      <c r="K47" s="20"/>
      <c r="L47" s="20"/>
      <c r="M47" s="20"/>
      <c r="N47" s="20"/>
      <c r="O47" s="20"/>
      <c r="P47" s="20"/>
      <c r="Q47" s="20"/>
      <c r="R47" s="20"/>
      <c r="S47" s="20"/>
    </row>
    <row r="48" spans="1:19" x14ac:dyDescent="0.35">
      <c r="A48" s="20"/>
      <c r="B48" s="15"/>
      <c r="C48" s="250"/>
      <c r="D48" s="15"/>
      <c r="E48" s="69"/>
      <c r="F48" s="69"/>
      <c r="G48" s="20"/>
      <c r="H48" s="20"/>
      <c r="I48" s="20"/>
      <c r="J48" s="20"/>
      <c r="K48" s="20"/>
      <c r="L48" s="20"/>
      <c r="M48" s="20"/>
      <c r="N48" s="20"/>
      <c r="O48" s="20"/>
      <c r="P48" s="20"/>
      <c r="Q48" s="20"/>
      <c r="R48" s="20"/>
      <c r="S48" s="20"/>
    </row>
    <row r="49" spans="1:19" x14ac:dyDescent="0.35">
      <c r="A49" s="20"/>
      <c r="B49" s="15"/>
      <c r="C49" s="388" t="s">
        <v>81</v>
      </c>
      <c r="D49" s="16" t="s">
        <v>79</v>
      </c>
      <c r="E49" s="70" t="s">
        <v>80</v>
      </c>
      <c r="F49" s="70"/>
      <c r="G49" s="20"/>
      <c r="H49" s="20"/>
      <c r="I49" s="20"/>
      <c r="J49" s="20"/>
      <c r="K49" s="20"/>
      <c r="L49" s="20"/>
      <c r="M49" s="20"/>
      <c r="N49" s="20"/>
      <c r="O49" s="20"/>
      <c r="P49" s="20"/>
      <c r="Q49" s="20"/>
      <c r="R49" s="20"/>
      <c r="S49" s="20"/>
    </row>
    <row r="50" spans="1:19" x14ac:dyDescent="0.35">
      <c r="A50" s="20"/>
      <c r="B50" s="15"/>
      <c r="C50" s="385" t="s">
        <v>191</v>
      </c>
      <c r="D50" s="12" cm="1">
        <f t="array" ref="D50:D52">COUNTIFS(D$7:D$42,$B$45:$B$47,EnterData_1[Component],"FD")</f>
        <v>3</v>
      </c>
      <c r="E50" s="66" cm="1">
        <f t="array" ref="E50:E52">COUNTIFS(D$7:D$42,$B$45:$B$47,EnterData_1[Component],"FD",E$7:E$42,"Y")</f>
        <v>3</v>
      </c>
      <c r="F50" s="66"/>
      <c r="G50" s="20"/>
      <c r="H50" s="20"/>
      <c r="I50" s="20"/>
      <c r="J50" s="20"/>
      <c r="K50" s="20"/>
      <c r="L50" s="20"/>
      <c r="M50" s="20"/>
      <c r="N50" s="20"/>
      <c r="O50" s="20"/>
      <c r="P50" s="20"/>
      <c r="Q50" s="20"/>
      <c r="R50" s="20"/>
      <c r="S50" s="20"/>
    </row>
    <row r="51" spans="1:19" x14ac:dyDescent="0.35">
      <c r="A51" s="20"/>
      <c r="B51" s="15"/>
      <c r="C51" s="386" t="s">
        <v>193</v>
      </c>
      <c r="D51" s="13">
        <v>4</v>
      </c>
      <c r="E51" s="67">
        <v>3</v>
      </c>
      <c r="F51" s="67"/>
      <c r="G51" s="20"/>
      <c r="H51" s="20"/>
      <c r="I51" s="20"/>
      <c r="J51" s="20"/>
      <c r="K51" s="20"/>
      <c r="L51" s="20"/>
      <c r="M51" s="20"/>
      <c r="N51" s="20"/>
      <c r="O51" s="20"/>
      <c r="P51" s="20"/>
      <c r="Q51" s="20"/>
      <c r="R51" s="20"/>
      <c r="S51" s="20"/>
    </row>
    <row r="52" spans="1:19" x14ac:dyDescent="0.35">
      <c r="A52" s="20"/>
      <c r="B52" s="15"/>
      <c r="C52" s="387" t="s">
        <v>195</v>
      </c>
      <c r="D52" s="14">
        <v>3</v>
      </c>
      <c r="E52" s="68">
        <v>3</v>
      </c>
      <c r="F52" s="68"/>
      <c r="G52" s="20"/>
      <c r="H52" s="20"/>
      <c r="I52" s="20"/>
      <c r="J52" s="20"/>
      <c r="K52" s="20"/>
      <c r="L52" s="20"/>
      <c r="M52" s="20"/>
      <c r="N52" s="20"/>
      <c r="O52" s="20"/>
      <c r="P52" s="20"/>
      <c r="Q52" s="20"/>
      <c r="R52" s="20"/>
      <c r="S52" s="20"/>
    </row>
    <row r="53" spans="1:19" x14ac:dyDescent="0.35">
      <c r="A53" s="20"/>
      <c r="B53" s="15"/>
      <c r="C53" s="250"/>
      <c r="D53" s="15"/>
      <c r="E53" s="69"/>
      <c r="F53" s="69"/>
      <c r="G53" s="20"/>
      <c r="H53" s="20"/>
      <c r="I53" s="20"/>
      <c r="J53" s="20"/>
      <c r="K53" s="20"/>
      <c r="L53" s="20"/>
      <c r="M53" s="20"/>
      <c r="N53" s="20"/>
      <c r="O53" s="20"/>
      <c r="P53" s="20"/>
      <c r="Q53" s="20"/>
      <c r="R53" s="20"/>
      <c r="S53" s="20"/>
    </row>
    <row r="54" spans="1:19" x14ac:dyDescent="0.35">
      <c r="A54" s="20"/>
      <c r="B54" s="15"/>
      <c r="C54" s="389" t="s">
        <v>82</v>
      </c>
      <c r="D54" s="17" t="s">
        <v>79</v>
      </c>
      <c r="E54" s="71" t="s">
        <v>80</v>
      </c>
      <c r="F54" s="71"/>
      <c r="G54" s="20"/>
      <c r="H54" s="20"/>
      <c r="I54" s="20"/>
      <c r="J54" s="20"/>
      <c r="K54" s="20"/>
      <c r="L54" s="20"/>
      <c r="M54" s="20"/>
      <c r="N54" s="20"/>
      <c r="O54" s="20"/>
      <c r="P54" s="20"/>
      <c r="Q54" s="20"/>
      <c r="R54" s="20"/>
      <c r="S54" s="20"/>
    </row>
    <row r="55" spans="1:19" x14ac:dyDescent="0.35">
      <c r="A55" s="20"/>
      <c r="B55" s="15"/>
      <c r="C55" s="385" t="s">
        <v>191</v>
      </c>
      <c r="D55" s="12" cm="1">
        <f t="array" ref="D55:D57">COUNTIFS(D$7:D$42,$B$45:$B$47,EnterData_1[Component],"IN")</f>
        <v>3</v>
      </c>
      <c r="E55" s="66" cm="1">
        <f t="array" ref="E55:E57">COUNTIFS(D$7:D$42,$B$45:$B$47,EnterData_1[Component],"IN",E$7:E$42,"Y")</f>
        <v>1</v>
      </c>
      <c r="F55" s="66"/>
      <c r="G55" s="20"/>
      <c r="H55" s="20"/>
      <c r="I55" s="20"/>
      <c r="J55" s="20"/>
      <c r="K55" s="20"/>
      <c r="L55" s="20"/>
      <c r="M55" s="20"/>
      <c r="N55" s="20"/>
      <c r="O55" s="20"/>
      <c r="P55" s="20"/>
      <c r="Q55" s="20"/>
      <c r="R55" s="20"/>
      <c r="S55" s="20"/>
    </row>
    <row r="56" spans="1:19" x14ac:dyDescent="0.35">
      <c r="A56" s="20"/>
      <c r="B56" s="15"/>
      <c r="C56" s="386" t="s">
        <v>193</v>
      </c>
      <c r="D56" s="13">
        <v>4</v>
      </c>
      <c r="E56" s="67">
        <v>4</v>
      </c>
      <c r="F56" s="67"/>
      <c r="G56" s="20"/>
      <c r="H56" s="20"/>
      <c r="I56" s="20"/>
      <c r="J56" s="20"/>
      <c r="K56" s="20"/>
      <c r="L56" s="20"/>
      <c r="M56" s="20"/>
      <c r="N56" s="20"/>
      <c r="O56" s="20"/>
      <c r="P56" s="20"/>
      <c r="Q56" s="20"/>
      <c r="R56" s="20"/>
      <c r="S56" s="20"/>
    </row>
    <row r="57" spans="1:19" x14ac:dyDescent="0.35">
      <c r="A57" s="20"/>
      <c r="B57" s="15"/>
      <c r="C57" s="387" t="s">
        <v>195</v>
      </c>
      <c r="D57" s="14">
        <v>6</v>
      </c>
      <c r="E57" s="68">
        <v>6</v>
      </c>
      <c r="F57" s="68"/>
      <c r="G57" s="20"/>
      <c r="H57" s="20"/>
      <c r="I57" s="20"/>
      <c r="J57" s="20"/>
      <c r="K57" s="20"/>
      <c r="L57" s="20"/>
      <c r="M57" s="20"/>
      <c r="N57" s="20"/>
      <c r="O57" s="20"/>
      <c r="P57" s="20"/>
      <c r="Q57" s="20"/>
      <c r="R57" s="20"/>
      <c r="S57" s="20"/>
    </row>
    <row r="58" spans="1:19" x14ac:dyDescent="0.35">
      <c r="A58" s="20"/>
      <c r="B58" s="15"/>
      <c r="C58" s="250"/>
      <c r="D58" s="15"/>
      <c r="E58" s="69"/>
      <c r="F58" s="69"/>
      <c r="G58" s="20"/>
      <c r="H58" s="20"/>
      <c r="I58" s="20"/>
      <c r="J58" s="20"/>
      <c r="K58" s="20"/>
      <c r="L58" s="20"/>
      <c r="M58" s="20"/>
      <c r="N58" s="20"/>
      <c r="O58" s="20"/>
      <c r="P58" s="20"/>
      <c r="Q58" s="20"/>
      <c r="R58" s="20"/>
      <c r="S58" s="20"/>
    </row>
    <row r="59" spans="1:19" x14ac:dyDescent="0.35">
      <c r="A59" s="20"/>
      <c r="B59" s="15"/>
      <c r="C59" s="390" t="s">
        <v>83</v>
      </c>
      <c r="D59" s="18" t="s">
        <v>79</v>
      </c>
      <c r="E59" s="72" t="s">
        <v>80</v>
      </c>
      <c r="F59" s="72"/>
      <c r="G59" s="20"/>
      <c r="H59" s="20"/>
      <c r="I59" s="20"/>
      <c r="J59" s="20"/>
      <c r="K59" s="20"/>
      <c r="L59" s="20"/>
      <c r="M59" s="20"/>
      <c r="N59" s="20"/>
      <c r="O59" s="20"/>
      <c r="P59" s="20"/>
      <c r="Q59" s="20"/>
      <c r="R59" s="20"/>
      <c r="S59" s="20"/>
    </row>
    <row r="60" spans="1:19" x14ac:dyDescent="0.35">
      <c r="A60" s="20"/>
      <c r="B60" s="15"/>
      <c r="C60" s="385" t="s">
        <v>191</v>
      </c>
      <c r="D60" s="19" cm="1">
        <f t="array" ref="D60:D62">COUNTIFS(D$7:D$42,$B$45:$B$47,EnterData_1[Component],"DC")</f>
        <v>2</v>
      </c>
      <c r="E60" s="73" cm="1">
        <f t="array" ref="E60:E62">COUNTIFS(D$7:D$42,$B$45:$B$47,EnterData_1[Component],"DC",E$7:E$42,"Y")</f>
        <v>1</v>
      </c>
      <c r="F60" s="73"/>
      <c r="G60" s="20"/>
      <c r="H60" s="20"/>
      <c r="I60" s="20"/>
      <c r="J60" s="20"/>
      <c r="K60" s="20"/>
      <c r="L60" s="20"/>
      <c r="M60" s="20"/>
      <c r="N60" s="20"/>
      <c r="O60" s="20"/>
      <c r="P60" s="20"/>
      <c r="Q60" s="20"/>
      <c r="R60" s="20"/>
      <c r="S60" s="20"/>
    </row>
    <row r="61" spans="1:19" x14ac:dyDescent="0.35">
      <c r="A61" s="20"/>
      <c r="B61" s="15"/>
      <c r="C61" s="386" t="s">
        <v>193</v>
      </c>
      <c r="D61" s="13">
        <v>9</v>
      </c>
      <c r="E61" s="67">
        <v>8</v>
      </c>
      <c r="F61" s="67"/>
      <c r="G61" s="20"/>
      <c r="H61" s="20"/>
      <c r="I61" s="20"/>
      <c r="J61" s="20"/>
      <c r="K61" s="20"/>
      <c r="L61" s="20"/>
      <c r="M61" s="20"/>
      <c r="N61" s="20"/>
      <c r="O61" s="20"/>
      <c r="P61" s="20"/>
      <c r="Q61" s="20"/>
      <c r="R61" s="20"/>
      <c r="S61" s="20"/>
    </row>
    <row r="62" spans="1:19" x14ac:dyDescent="0.35">
      <c r="A62" s="20"/>
      <c r="B62" s="15"/>
      <c r="C62" s="387" t="s">
        <v>195</v>
      </c>
      <c r="D62" s="14">
        <v>2</v>
      </c>
      <c r="E62" s="68">
        <v>2</v>
      </c>
      <c r="F62" s="68"/>
      <c r="G62" s="20"/>
      <c r="H62" s="20"/>
      <c r="I62" s="20"/>
      <c r="J62" s="20"/>
      <c r="K62" s="20"/>
      <c r="L62" s="20"/>
      <c r="M62" s="20"/>
      <c r="N62" s="20"/>
      <c r="O62" s="20"/>
      <c r="P62" s="20"/>
      <c r="Q62" s="20"/>
      <c r="R62" s="20"/>
      <c r="S62" s="20"/>
    </row>
    <row r="63" spans="1:19" x14ac:dyDescent="0.35">
      <c r="A63" s="284" t="s">
        <v>150</v>
      </c>
      <c r="B63" s="20"/>
      <c r="C63" s="20"/>
      <c r="D63" s="20"/>
      <c r="E63" s="20"/>
      <c r="F63" s="20"/>
      <c r="G63" s="20"/>
      <c r="H63" s="20"/>
      <c r="I63" s="20"/>
      <c r="J63" s="20"/>
      <c r="K63" s="20"/>
      <c r="L63" s="20"/>
      <c r="M63" s="20"/>
      <c r="N63" s="20"/>
      <c r="O63" s="20"/>
      <c r="P63" s="20"/>
      <c r="Q63" s="20"/>
      <c r="R63" s="20"/>
      <c r="S63" s="20"/>
    </row>
    <row r="64" spans="1:19" x14ac:dyDescent="0.35">
      <c r="A64" s="20"/>
      <c r="B64" s="20"/>
      <c r="C64" s="20"/>
      <c r="D64" s="20"/>
      <c r="E64" s="20"/>
      <c r="F64" s="20"/>
      <c r="G64" s="20"/>
      <c r="H64" s="20"/>
      <c r="I64" s="20"/>
      <c r="J64" s="20"/>
      <c r="K64" s="20"/>
    </row>
    <row r="65" spans="1:11" x14ac:dyDescent="0.35">
      <c r="A65" s="20"/>
      <c r="B65" s="20"/>
      <c r="C65" s="20"/>
      <c r="D65" s="20"/>
      <c r="E65" s="20"/>
      <c r="F65" s="20"/>
      <c r="G65" s="20"/>
      <c r="H65" s="20"/>
      <c r="I65" s="20"/>
      <c r="J65" s="20"/>
      <c r="K65" s="20"/>
    </row>
    <row r="66" spans="1:11" x14ac:dyDescent="0.35">
      <c r="A66" s="20"/>
      <c r="B66" s="20"/>
      <c r="C66" s="20"/>
      <c r="D66" s="20"/>
      <c r="E66" s="20"/>
      <c r="F66" s="20"/>
      <c r="G66" s="20"/>
      <c r="H66" s="20"/>
      <c r="I66" s="20"/>
      <c r="J66" s="20"/>
      <c r="K66" s="20"/>
    </row>
  </sheetData>
  <sheetProtection sheet="1" formatCells="0" formatColumns="0" formatRows="0"/>
  <conditionalFormatting sqref="A5:O42">
    <cfRule type="expression" dxfId="122" priority="1">
      <formula>OR($G$3="",$G$4="")</formula>
    </cfRule>
  </conditionalFormatting>
  <conditionalFormatting sqref="F7:F42">
    <cfRule type="expression" dxfId="121" priority="3">
      <formula>OR(D7="Min comp",D7="Comp")</formula>
    </cfRule>
  </conditionalFormatting>
  <conditionalFormatting sqref="J7:J42">
    <cfRule type="expression" dxfId="120" priority="5">
      <formula>$J7&lt;&gt;""</formula>
    </cfRule>
    <cfRule type="expression" dxfId="119" priority="9">
      <formula>LEFT($J7)="F"</formula>
    </cfRule>
    <cfRule type="expression" dxfId="118" priority="13">
      <formula>LEFT($J7)="I"</formula>
    </cfRule>
    <cfRule type="expression" dxfId="117" priority="14">
      <formula>LEFT($J7)="D"</formula>
    </cfRule>
  </conditionalFormatting>
  <conditionalFormatting sqref="J7:O42">
    <cfRule type="expression" dxfId="116" priority="6">
      <formula>AND($J7&lt;&gt;"",$J8="")</formula>
    </cfRule>
    <cfRule type="expression" dxfId="115" priority="7">
      <formula>$J7&lt;&gt;""</formula>
    </cfRule>
  </conditionalFormatting>
  <conditionalFormatting sqref="L7:O42">
    <cfRule type="expression" dxfId="114" priority="8">
      <formula>$J7&lt;&gt;""</formula>
    </cfRule>
  </conditionalFormatting>
  <conditionalFormatting sqref="O7:O42">
    <cfRule type="expression" dxfId="113" priority="4">
      <formula>$J7&lt;&gt;""</formula>
    </cfRule>
  </conditionalFormatting>
  <dataValidations count="4">
    <dataValidation type="list" allowBlank="1" showInputMessage="1" showErrorMessage="1" sqref="D7:D42" xr:uid="{5CD32776-A40D-47AE-BB5A-0A46E0678E06}">
      <formula1>"Min comp, Comp, Hi comp"</formula1>
    </dataValidation>
    <dataValidation type="list" allowBlank="1" showInputMessage="1" showErrorMessage="1" sqref="L7:L42" xr:uid="{4B15486C-5787-4CBB-822F-F5A863029452}">
      <formula1>"Yes,No"</formula1>
    </dataValidation>
    <dataValidation type="list" allowBlank="1" showInputMessage="1" showErrorMessage="1" sqref="F7:F42" xr:uid="{0E289C05-8E2E-415A-BB5F-C6F1F5580F33}">
      <formula1>"Y,N"</formula1>
    </dataValidation>
    <dataValidation type="list" allowBlank="1" showInputMessage="1" showErrorMessage="1" sqref="E7:E42" xr:uid="{CAC5B055-E567-4C1F-A61E-C1ABCFE5BCDF}">
      <formula1>"Y,N,?"</formula1>
    </dataValidation>
  </dataValidations>
  <pageMargins left="0.7" right="0.7" top="0.75" bottom="0.75" header="0.3" footer="0.3"/>
  <pageSetup scale="61" fitToHeight="0" orientation="landscape" horizontalDpi="4294967293" verticalDpi="0" r:id="rId1"/>
  <headerFooter>
    <oddHeader>&amp;LLearning Plan 1&amp;RPrinted on: &amp;D</oddHeader>
    <oddFooter>&amp;CPage &amp;P of &amp;N</oddFooter>
  </headerFooter>
  <legacy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EBE9F-FD34-40F6-968A-A2E304A526DD}">
  <sheetPr>
    <tabColor rgb="FFFFFFCC"/>
    <pageSetUpPr fitToPage="1"/>
  </sheetPr>
  <dimension ref="A1:S66"/>
  <sheetViews>
    <sheetView showGridLines="0" zoomScaleNormal="100" workbookViewId="0">
      <pane ySplit="6" topLeftCell="A7" activePane="bottomLeft" state="frozen"/>
      <selection activeCell="G4" sqref="G4"/>
      <selection pane="bottomLeft"/>
    </sheetView>
  </sheetViews>
  <sheetFormatPr defaultRowHeight="14.5" x14ac:dyDescent="0.35"/>
  <cols>
    <col min="1" max="1" width="7.26953125" customWidth="1"/>
    <col min="2" max="2" width="12.54296875" style="22" customWidth="1"/>
    <col min="3" max="3" width="54.08984375" style="22" customWidth="1"/>
    <col min="4" max="4" width="10.1796875" customWidth="1"/>
    <col min="5" max="5" width="8.453125" customWidth="1"/>
    <col min="6" max="6" width="7.90625" customWidth="1"/>
    <col min="7" max="7" width="36.36328125" customWidth="1"/>
    <col min="8" max="8" width="0" hidden="1" customWidth="1"/>
    <col min="9" max="9" width="2.26953125" customWidth="1"/>
    <col min="10" max="10" width="7.26953125" customWidth="1"/>
    <col min="11" max="11" width="85.1796875" style="22" customWidth="1"/>
    <col min="12" max="12" width="14.453125" customWidth="1"/>
    <col min="13" max="13" width="44.453125" customWidth="1"/>
    <col min="14" max="14" width="16" style="44" customWidth="1"/>
    <col min="15" max="15" width="30.54296875" customWidth="1"/>
    <col min="16" max="16" width="1.453125" customWidth="1"/>
  </cols>
  <sheetData>
    <row r="1" spans="1:19" s="270" customFormat="1" ht="10.5" x14ac:dyDescent="0.25">
      <c r="A1" s="271" t="s">
        <v>113</v>
      </c>
      <c r="B1" s="272"/>
      <c r="C1" s="272"/>
      <c r="K1" s="272"/>
      <c r="N1" s="273"/>
    </row>
    <row r="2" spans="1:19" x14ac:dyDescent="0.35">
      <c r="A2" s="245" t="str">
        <f>IF('SA1'!$G$3="","You must enter a name (or role) in worksheet SA1, cell G3 to activate the workbook.",IF($G$4="","You must enter a Date of Self Assessment in G4 to activate this worksheet.",""))</f>
        <v/>
      </c>
    </row>
    <row r="3" spans="1:19" x14ac:dyDescent="0.35">
      <c r="G3" s="314"/>
    </row>
    <row r="4" spans="1:19" ht="20.5" thickBot="1" x14ac:dyDescent="0.4">
      <c r="A4" s="31" t="s">
        <v>111</v>
      </c>
      <c r="B4" s="32"/>
      <c r="C4" s="32"/>
      <c r="F4" s="33" t="s">
        <v>105</v>
      </c>
      <c r="G4" s="285">
        <v>45755</v>
      </c>
      <c r="J4" s="31" t="s">
        <v>110</v>
      </c>
      <c r="K4" s="32"/>
      <c r="M4" s="33" t="s">
        <v>97</v>
      </c>
      <c r="N4" s="285"/>
      <c r="O4" s="34"/>
      <c r="P4" s="35"/>
    </row>
    <row r="5" spans="1:19" x14ac:dyDescent="0.35">
      <c r="J5" s="36" t="str">
        <f>calc!C10</f>
        <v>These are the 'Improve? = Yes'  results from Round 2 (4/8/25)</v>
      </c>
      <c r="K5" s="37"/>
      <c r="L5" s="38"/>
      <c r="M5" s="38"/>
      <c r="N5" s="43"/>
      <c r="O5" s="39"/>
      <c r="P5" s="38"/>
    </row>
    <row r="6" spans="1:19" ht="43.5" x14ac:dyDescent="0.35">
      <c r="A6" s="45" t="s">
        <v>94</v>
      </c>
      <c r="B6" s="46" t="s">
        <v>0</v>
      </c>
      <c r="C6" s="47" t="s">
        <v>1</v>
      </c>
      <c r="D6" s="48" t="s">
        <v>84</v>
      </c>
      <c r="E6" s="45" t="s">
        <v>85</v>
      </c>
      <c r="F6" s="45" t="s">
        <v>86</v>
      </c>
      <c r="G6" s="49" t="s">
        <v>95</v>
      </c>
      <c r="H6" s="50" t="s">
        <v>90</v>
      </c>
      <c r="J6" s="60" t="s">
        <v>98</v>
      </c>
      <c r="K6" s="61" t="s">
        <v>1</v>
      </c>
      <c r="L6" s="62" t="s">
        <v>99</v>
      </c>
      <c r="M6" s="62" t="s">
        <v>100</v>
      </c>
      <c r="N6" s="291" t="s">
        <v>101</v>
      </c>
      <c r="O6" s="63" t="s">
        <v>95</v>
      </c>
      <c r="P6" s="38"/>
    </row>
    <row r="7" spans="1:19" ht="43.5" x14ac:dyDescent="0.35">
      <c r="A7" s="1">
        <v>1</v>
      </c>
      <c r="B7" s="24" t="s">
        <v>2</v>
      </c>
      <c r="C7" s="21" t="s">
        <v>3</v>
      </c>
      <c r="D7" s="57" t="s">
        <v>87</v>
      </c>
      <c r="E7" s="2" t="str">
        <f>EnterData_1[[#This Row],[Essential]]&amp;""</f>
        <v>Y</v>
      </c>
      <c r="F7" s="288"/>
      <c r="G7" s="52"/>
      <c r="H7" s="24" t="s">
        <v>91</v>
      </c>
      <c r="J7" s="38" t="str">
        <f>calc!C13&amp;""</f>
        <v>FD-3</v>
      </c>
      <c r="K7" s="37" t="str">
        <f>_xlfn.LET(_xlpm.x,INDEX(EnterData_8[Competencies],MATCH(J7,EnterData_8[Competency Num],0),1),IF(ISERROR(_xlpm.x),"",_xlpm.x))</f>
        <v>Is knowledgeable about relevant policies such as the Individuals with Disabilities Education Act (IDEA), Family Educational Rights and Privacy Act (FERPA), Health Insurance Portability and Accountability Act (HIPAA), and state regulations that address the privacy and security of Part C/Part B 619 data/records.</v>
      </c>
      <c r="L7" s="294"/>
      <c r="M7" s="295"/>
      <c r="N7" s="296"/>
      <c r="O7" s="296"/>
      <c r="P7" s="20"/>
      <c r="Q7" s="20"/>
      <c r="R7" s="20"/>
      <c r="S7" s="20"/>
    </row>
    <row r="8" spans="1:19" ht="43.5" x14ac:dyDescent="0.35">
      <c r="A8" s="3">
        <v>2</v>
      </c>
      <c r="B8" s="25" t="s">
        <v>5</v>
      </c>
      <c r="C8" s="4" t="s">
        <v>6</v>
      </c>
      <c r="D8" s="58" t="s">
        <v>87</v>
      </c>
      <c r="E8" s="5" t="str">
        <f>EnterData_1[[#This Row],[Essential]]&amp;""</f>
        <v>Y</v>
      </c>
      <c r="F8" s="289"/>
      <c r="G8" s="53"/>
      <c r="H8" s="25" t="s">
        <v>91</v>
      </c>
      <c r="J8" s="38" t="str">
        <f>calc!C14&amp;""</f>
        <v>FD-5</v>
      </c>
      <c r="K8" s="37" t="str">
        <f>_xlfn.LET(_xlpm.x,INDEX(EnterData_8[Competencies],MATCH(J8,EnterData_8[Competency Num],0),1),IF(ISERROR(_xlpm.x),"",_xlpm.x))</f>
        <v>Is knowledgeable about various methods for collecting data, including quantitative and qualitative methods, when to use various methods, and the advantages and limitations of such methods with different groups of respondents.</v>
      </c>
      <c r="L8" s="294"/>
      <c r="M8" s="295"/>
      <c r="N8" s="296"/>
      <c r="O8" s="296"/>
      <c r="P8" s="20"/>
      <c r="Q8" s="20"/>
      <c r="R8" s="20"/>
      <c r="S8" s="20"/>
    </row>
    <row r="9" spans="1:19" ht="72.5" x14ac:dyDescent="0.35">
      <c r="A9" s="3">
        <v>3</v>
      </c>
      <c r="B9" s="25" t="s">
        <v>8</v>
      </c>
      <c r="C9" s="4" t="s">
        <v>9</v>
      </c>
      <c r="D9" s="58" t="s">
        <v>88</v>
      </c>
      <c r="E9" s="5" t="str">
        <f>EnterData_1[[#This Row],[Essential]]&amp;""</f>
        <v>Y</v>
      </c>
      <c r="F9" s="289" t="s">
        <v>189</v>
      </c>
      <c r="G9" s="53"/>
      <c r="H9" s="25" t="s">
        <v>91</v>
      </c>
      <c r="J9" s="38" t="str">
        <f>calc!C15&amp;""</f>
        <v>FD-6</v>
      </c>
      <c r="K9" s="37" t="str">
        <f>_xlfn.LET(_xlpm.x,INDEX(EnterData_8[Competencies],MATCH(J9,EnterData_8[Competency Num],0),1),IF(ISERROR(_xlpm.x),"",_xlpm.x))</f>
        <v>Is knowledgeable about data analysis and presentation methods, their strengths and limitations, and their use in developing data products to meet the needs of intended users.</v>
      </c>
      <c r="L9" s="294"/>
      <c r="M9" s="295"/>
      <c r="N9" s="296"/>
      <c r="O9" s="296"/>
      <c r="P9" s="20"/>
      <c r="Q9" s="20"/>
      <c r="R9" s="20"/>
      <c r="S9" s="20"/>
    </row>
    <row r="10" spans="1:19" ht="43.5" x14ac:dyDescent="0.35">
      <c r="A10" s="3">
        <v>4</v>
      </c>
      <c r="B10" s="25" t="s">
        <v>10</v>
      </c>
      <c r="C10" s="4" t="s">
        <v>11</v>
      </c>
      <c r="D10" s="58" t="s">
        <v>87</v>
      </c>
      <c r="E10" s="5" t="str">
        <f>EnterData_1[[#This Row],[Essential]]&amp;""</f>
        <v>Y</v>
      </c>
      <c r="F10" s="289"/>
      <c r="G10" s="53"/>
      <c r="H10" s="25" t="s">
        <v>91</v>
      </c>
      <c r="J10" s="38" t="str">
        <f>calc!C16&amp;""</f>
        <v>FD-7</v>
      </c>
      <c r="K10" s="37" t="str">
        <f>_xlfn.LET(_xlpm.x,INDEX(EnterData_8[Competencies],MATCH(J10,EnterData_8[Competency Num],0),1),IF(ISERROR(_xlpm.x),"",_xlpm.x))</f>
        <v>Is knowledgeable of policies and procedures required for the governance and management of Part C/Part B 619 data, including those related to the quality and integrity of the data, and the security of and access to those data.</v>
      </c>
      <c r="L10" s="294"/>
      <c r="M10" s="295"/>
      <c r="N10" s="296"/>
      <c r="O10" s="296"/>
      <c r="P10" s="20"/>
      <c r="Q10" s="20"/>
      <c r="R10" s="20"/>
      <c r="S10" s="20"/>
    </row>
    <row r="11" spans="1:19" ht="58" x14ac:dyDescent="0.35">
      <c r="A11" s="3">
        <v>5</v>
      </c>
      <c r="B11" s="25" t="s">
        <v>12</v>
      </c>
      <c r="C11" s="4" t="s">
        <v>13</v>
      </c>
      <c r="D11" s="58" t="s">
        <v>88</v>
      </c>
      <c r="E11" s="5" t="str">
        <f>EnterData_1[[#This Row],[Essential]]&amp;""</f>
        <v>Y</v>
      </c>
      <c r="F11" s="289" t="s">
        <v>189</v>
      </c>
      <c r="G11" s="53"/>
      <c r="H11" s="25" t="s">
        <v>91</v>
      </c>
      <c r="J11" s="38" t="str">
        <f>calc!C17&amp;""</f>
        <v>FD-10</v>
      </c>
      <c r="K11" s="37" t="str">
        <f>_xlfn.LET(_xlpm.x,INDEX(EnterData_8[Competencies],MATCH(J11,EnterData_8[Competency Num],0),1),IF(ISERROR(_xlpm.x),"",_xlpm.x))</f>
        <v>Demonstrates the ability to provide opportunities for state team members, local program staff, and (other) stakeholders to learn data knowledge and skills essential to their respective roles (e.g., data collection, reporting requirements, data literacy).</v>
      </c>
      <c r="L11" s="294"/>
      <c r="M11" s="295"/>
      <c r="N11" s="296"/>
      <c r="O11" s="296"/>
      <c r="P11" s="20"/>
      <c r="Q11" s="20"/>
      <c r="R11" s="20"/>
      <c r="S11" s="20"/>
    </row>
    <row r="12" spans="1:19" ht="43.5" x14ac:dyDescent="0.35">
      <c r="A12" s="3">
        <v>6</v>
      </c>
      <c r="B12" s="25" t="s">
        <v>15</v>
      </c>
      <c r="C12" s="4" t="s">
        <v>16</v>
      </c>
      <c r="D12" s="58" t="s">
        <v>88</v>
      </c>
      <c r="E12" s="5" t="str">
        <f>EnterData_1[[#This Row],[Essential]]&amp;""</f>
        <v>Y</v>
      </c>
      <c r="F12" s="289" t="s">
        <v>189</v>
      </c>
      <c r="G12" s="53"/>
      <c r="H12" s="25" t="s">
        <v>91</v>
      </c>
      <c r="J12" s="38" t="str">
        <f>calc!C18&amp;""</f>
        <v>IN-5</v>
      </c>
      <c r="K12" s="37" t="str">
        <f>_xlfn.LET(_xlpm.x,INDEX(EnterData_8[Competencies],MATCH(J12,EnterData_8[Competency Num],0),1),IF(ISERROR(_xlpm.x),"",_xlpm.x))</f>
        <v>Demonstrates the ability to delineate appropriate roles and responsibilities for decisionmaking authority, accountability, and management related to collection, analysis, use, and dissemination of Part C/ Part B 619 data.</v>
      </c>
      <c r="L12" s="294"/>
      <c r="M12" s="295"/>
      <c r="N12" s="296"/>
      <c r="O12" s="296"/>
      <c r="P12" s="20"/>
      <c r="Q12" s="20"/>
      <c r="R12" s="20"/>
      <c r="S12" s="20"/>
    </row>
    <row r="13" spans="1:19" ht="58" x14ac:dyDescent="0.35">
      <c r="A13" s="3">
        <v>7</v>
      </c>
      <c r="B13" s="25" t="s">
        <v>17</v>
      </c>
      <c r="C13" s="4" t="s">
        <v>18</v>
      </c>
      <c r="D13" s="58" t="s">
        <v>88</v>
      </c>
      <c r="E13" s="5" t="str">
        <f>EnterData_1[[#This Row],[Essential]]&amp;""</f>
        <v>Y</v>
      </c>
      <c r="F13" s="289" t="s">
        <v>189</v>
      </c>
      <c r="G13" s="53"/>
      <c r="H13" s="25" t="s">
        <v>91</v>
      </c>
      <c r="J13" s="38" t="str">
        <f>calc!C19&amp;""</f>
        <v>IN-7</v>
      </c>
      <c r="K13" s="37" t="str">
        <f>_xlfn.LET(_xlpm.x,INDEX(EnterData_8[Competencies],MATCH(J13,EnterData_8[Competency Num],0),1),IF(ISERROR(_xlpm.x),"",_xlpm.x))</f>
        <v>Demonstrates the ability to manage a data system to collect programmatic information from multiple sources for federal and state reporting and system management.</v>
      </c>
      <c r="L13" s="294"/>
      <c r="M13" s="295"/>
      <c r="N13" s="296"/>
      <c r="O13" s="296"/>
      <c r="P13" s="20"/>
      <c r="Q13" s="20"/>
      <c r="R13" s="20"/>
      <c r="S13" s="20"/>
    </row>
    <row r="14" spans="1:19" ht="58" x14ac:dyDescent="0.35">
      <c r="A14" s="3">
        <v>8</v>
      </c>
      <c r="B14" s="25" t="s">
        <v>19</v>
      </c>
      <c r="C14" s="4" t="s">
        <v>20</v>
      </c>
      <c r="D14" s="58" t="s">
        <v>88</v>
      </c>
      <c r="E14" s="5" t="str">
        <f>EnterData_1[[#This Row],[Essential]]&amp;""</f>
        <v>N</v>
      </c>
      <c r="F14" s="289" t="s">
        <v>188</v>
      </c>
      <c r="G14" s="53"/>
      <c r="H14" s="25" t="s">
        <v>91</v>
      </c>
      <c r="J14" s="38" t="str">
        <f>calc!C20&amp;""</f>
        <v>IN-11</v>
      </c>
      <c r="K14" s="37" t="str">
        <f>_xlfn.LET(_xlpm.x,INDEX(EnterData_8[Competencies],MATCH(J14,EnterData_8[Competency Num],0),1),IF(ISERROR(_xlpm.x),"",_xlpm.x))</f>
        <v>Demonstrates the ability to lead a process for the development of a new data system or major enhancement.</v>
      </c>
      <c r="L14" s="294"/>
      <c r="M14" s="295"/>
      <c r="N14" s="296"/>
      <c r="O14" s="296"/>
      <c r="P14" s="20"/>
      <c r="Q14" s="20"/>
      <c r="R14" s="20"/>
      <c r="S14" s="20"/>
    </row>
    <row r="15" spans="1:19" ht="29" x14ac:dyDescent="0.35">
      <c r="A15" s="3">
        <v>9</v>
      </c>
      <c r="B15" s="25" t="s">
        <v>21</v>
      </c>
      <c r="C15" s="4" t="s">
        <v>22</v>
      </c>
      <c r="D15" s="58" t="s">
        <v>88</v>
      </c>
      <c r="E15" s="5" t="str">
        <f>EnterData_1[[#This Row],[Essential]]&amp;""</f>
        <v>Y</v>
      </c>
      <c r="F15" s="289" t="s">
        <v>188</v>
      </c>
      <c r="G15" s="53"/>
      <c r="H15" s="25" t="s">
        <v>91</v>
      </c>
      <c r="J15" s="38" t="str">
        <f>calc!C21&amp;""</f>
        <v>IN-12</v>
      </c>
      <c r="K15" s="37" t="str">
        <f>_xlfn.LET(_xlpm.x,INDEX(EnterData_8[Competencies],MATCH(J15,EnterData_8[Competency Num],0),1),IF(ISERROR(_xlpm.x),"",_xlpm.x))</f>
        <v>Demonstrates ability to elicit and process stakeholder input about state data system(s)/applications and communicate that input to the technical team.</v>
      </c>
      <c r="L15" s="294"/>
      <c r="M15" s="295"/>
      <c r="N15" s="296"/>
      <c r="O15" s="296"/>
      <c r="P15" s="20"/>
      <c r="Q15" s="20"/>
      <c r="R15" s="20"/>
      <c r="S15" s="20"/>
    </row>
    <row r="16" spans="1:19" ht="58" x14ac:dyDescent="0.35">
      <c r="A16" s="3">
        <v>10</v>
      </c>
      <c r="B16" s="319" t="s">
        <v>23</v>
      </c>
      <c r="C16" s="320" t="s">
        <v>24</v>
      </c>
      <c r="D16" s="299" t="s">
        <v>88</v>
      </c>
      <c r="E16" s="300" t="str">
        <f>EnterData_1[[#This Row],[Essential]]&amp;""</f>
        <v>Y</v>
      </c>
      <c r="F16" s="301" t="s">
        <v>189</v>
      </c>
      <c r="G16" s="302"/>
      <c r="H16" s="25" t="s">
        <v>91</v>
      </c>
      <c r="J16" s="38" t="str">
        <f>calc!C22&amp;""</f>
        <v>DC-4</v>
      </c>
      <c r="K16" s="37" t="str">
        <f>_xlfn.LET(_xlpm.x,INDEX(EnterData_8[Competencies],MATCH(J16,EnterData_8[Competency Num],0),1),IF(ISERROR(_xlpm.x),"",_xlpm.x))</f>
        <v>Demonstrates the ability to establish a data culture through norms and expectations for the ongoing use of data.</v>
      </c>
      <c r="L16" s="294"/>
      <c r="M16" s="295"/>
      <c r="N16" s="296"/>
      <c r="O16" s="296"/>
      <c r="P16" s="20"/>
      <c r="Q16" s="20"/>
      <c r="R16" s="20"/>
      <c r="S16" s="20"/>
    </row>
    <row r="17" spans="1:19" ht="58" x14ac:dyDescent="0.35">
      <c r="A17" s="6">
        <v>11</v>
      </c>
      <c r="B17" s="316" t="s">
        <v>25</v>
      </c>
      <c r="C17" s="317" t="s">
        <v>26</v>
      </c>
      <c r="D17" s="57" t="s">
        <v>87</v>
      </c>
      <c r="E17" s="2" t="str">
        <f>EnterData_1[[#This Row],[Essential]]&amp;""</f>
        <v>Y</v>
      </c>
      <c r="F17" s="288" t="s">
        <v>188</v>
      </c>
      <c r="G17" s="318"/>
      <c r="H17" s="26" t="s">
        <v>92</v>
      </c>
      <c r="J17" s="38" t="str">
        <f>calc!C23&amp;""</f>
        <v>DC-5</v>
      </c>
      <c r="K17" s="37" t="str">
        <f>_xlfn.LET(_xlpm.x,INDEX(EnterData_8[Competencies],MATCH(J17,EnterData_8[Competency Num],0),1),IF(ISERROR(_xlpm.x),"",_xlpm.x))</f>
        <v>Demonstrates ability to implement an approach to data-based decision-making (e.g., Plan-Do-Study-Act).</v>
      </c>
      <c r="L17" s="294"/>
      <c r="M17" s="295"/>
      <c r="N17" s="296"/>
      <c r="O17" s="296"/>
      <c r="P17" s="20"/>
      <c r="Q17" s="20"/>
      <c r="R17" s="20"/>
      <c r="S17" s="20"/>
    </row>
    <row r="18" spans="1:19" ht="43.5" x14ac:dyDescent="0.35">
      <c r="A18" s="6">
        <v>12</v>
      </c>
      <c r="B18" s="26" t="s">
        <v>27</v>
      </c>
      <c r="C18" s="7" t="s">
        <v>28</v>
      </c>
      <c r="D18" s="57" t="s">
        <v>87</v>
      </c>
      <c r="E18" s="5" t="str">
        <f>EnterData_1[[#This Row],[Essential]]&amp;""</f>
        <v>Y</v>
      </c>
      <c r="F18" s="289" t="s">
        <v>188</v>
      </c>
      <c r="G18" s="53"/>
      <c r="H18" s="26" t="s">
        <v>92</v>
      </c>
      <c r="J18" s="38" t="str">
        <f>calc!C24&amp;""</f>
        <v>DC-6</v>
      </c>
      <c r="K18" s="37" t="str">
        <f>_xlfn.LET(_xlpm.x,INDEX(EnterData_8[Competencies],MATCH(J18,EnterData_8[Competency Num],0),1),IF(ISERROR(_xlpm.x),"",_xlpm.x))</f>
        <v>Demonstrates ability to lead team members and stakeholders in discussions about the interpretation of program data (e.g., 616, 618, other) and development of action steps in response to what was learned from the analysis.</v>
      </c>
      <c r="L18" s="294"/>
      <c r="M18" s="295"/>
      <c r="N18" s="296"/>
      <c r="O18" s="296"/>
      <c r="P18" s="20"/>
      <c r="Q18" s="20"/>
      <c r="R18" s="20"/>
      <c r="S18" s="20"/>
    </row>
    <row r="19" spans="1:19" ht="43.5" x14ac:dyDescent="0.35">
      <c r="A19" s="6">
        <v>13</v>
      </c>
      <c r="B19" s="26" t="s">
        <v>29</v>
      </c>
      <c r="C19" s="7" t="s">
        <v>30</v>
      </c>
      <c r="D19" s="58" t="s">
        <v>87</v>
      </c>
      <c r="E19" s="5" t="str">
        <f>EnterData_1[[#This Row],[Essential]]&amp;""</f>
        <v>Y</v>
      </c>
      <c r="F19" s="289"/>
      <c r="G19" s="53"/>
      <c r="H19" s="26" t="s">
        <v>92</v>
      </c>
      <c r="J19" s="38" t="str">
        <f>calc!C25&amp;""</f>
        <v>DC-7</v>
      </c>
      <c r="K19" s="37" t="str">
        <f>_xlfn.LET(_xlpm.x,INDEX(EnterData_8[Competencies],MATCH(J19,EnterData_8[Competency Num],0),1),IF(ISERROR(_xlpm.x),"",_xlpm.x))</f>
        <v>Demonstrates the ability to make effective and timely decisions based on available data even when those data are limited and infer the implications of those decisions.</v>
      </c>
      <c r="L19" s="294"/>
      <c r="M19" s="295"/>
      <c r="N19" s="296"/>
      <c r="O19" s="296"/>
      <c r="P19" s="20"/>
      <c r="Q19" s="20"/>
      <c r="R19" s="20"/>
      <c r="S19" s="20"/>
    </row>
    <row r="20" spans="1:19" ht="43.5" x14ac:dyDescent="0.35">
      <c r="A20" s="6">
        <v>14</v>
      </c>
      <c r="B20" s="26" t="s">
        <v>31</v>
      </c>
      <c r="C20" s="7" t="s">
        <v>32</v>
      </c>
      <c r="D20" s="58" t="s">
        <v>88</v>
      </c>
      <c r="E20" s="5" t="str">
        <f>EnterData_1[[#This Row],[Essential]]&amp;""</f>
        <v>N</v>
      </c>
      <c r="F20" s="289" t="s">
        <v>188</v>
      </c>
      <c r="G20" s="53"/>
      <c r="H20" s="26" t="s">
        <v>92</v>
      </c>
      <c r="J20" s="38" t="str">
        <f>calc!C26&amp;""</f>
        <v>DC-8</v>
      </c>
      <c r="K20" s="37" t="str">
        <f>_xlfn.LET(_xlpm.x,INDEX(EnterData_8[Competencies],MATCH(J20,EnterData_8[Competency Num],0),1),IF(ISERROR(_xlpm.x),"",_xlpm.x))</f>
        <v>Demonstrates the ability to use data to ensure the provision of services and supports, and positive outcomes for all children with developmental delays and disabilities and their families.</v>
      </c>
      <c r="L20" s="294"/>
      <c r="M20" s="295"/>
      <c r="N20" s="296"/>
      <c r="O20" s="296"/>
      <c r="P20" s="20"/>
      <c r="Q20" s="20"/>
      <c r="R20" s="20"/>
      <c r="S20" s="20"/>
    </row>
    <row r="21" spans="1:19" ht="58" x14ac:dyDescent="0.35">
      <c r="A21" s="6">
        <v>15</v>
      </c>
      <c r="B21" s="26" t="s">
        <v>33</v>
      </c>
      <c r="C21" s="7" t="s">
        <v>34</v>
      </c>
      <c r="D21" s="58" t="s">
        <v>88</v>
      </c>
      <c r="E21" s="5" t="str">
        <f>EnterData_1[[#This Row],[Essential]]&amp;""</f>
        <v>Y</v>
      </c>
      <c r="F21" s="289" t="s">
        <v>189</v>
      </c>
      <c r="G21" s="53"/>
      <c r="H21" s="26" t="s">
        <v>92</v>
      </c>
      <c r="J21" s="38" t="str">
        <f>calc!C27&amp;""</f>
        <v>DC-9</v>
      </c>
      <c r="K21" s="37" t="str">
        <f>_xlfn.LET(_xlpm.x,INDEX(EnterData_8[Competencies],MATCH(J21,EnterData_8[Competency Num],0),1),IF(ISERROR(_xlpm.x),"",_xlpm.x))</f>
        <v>Demonstrates the ability to use fiscal data to address the current and future needs of the program e.g., budget development, utilization and allocation of funding sources, and fiscal monitoring.</v>
      </c>
      <c r="L21" s="294"/>
      <c r="M21" s="295"/>
      <c r="N21" s="296"/>
      <c r="O21" s="296"/>
      <c r="P21" s="20"/>
      <c r="Q21" s="20"/>
      <c r="R21" s="20"/>
      <c r="S21" s="20"/>
    </row>
    <row r="22" spans="1:19" ht="29" x14ac:dyDescent="0.35">
      <c r="A22" s="6">
        <v>16</v>
      </c>
      <c r="B22" s="26" t="s">
        <v>35</v>
      </c>
      <c r="C22" s="7" t="s">
        <v>36</v>
      </c>
      <c r="D22" s="57" t="s">
        <v>87</v>
      </c>
      <c r="E22" s="5" t="str">
        <f>EnterData_1[[#This Row],[Essential]]&amp;""</f>
        <v>Y</v>
      </c>
      <c r="F22" s="289"/>
      <c r="G22" s="53"/>
      <c r="H22" s="26" t="s">
        <v>92</v>
      </c>
      <c r="J22" s="38" t="str">
        <f>calc!C28&amp;""</f>
        <v>DC-10</v>
      </c>
      <c r="K22" s="37" t="str">
        <f>_xlfn.LET(_xlpm.x,INDEX(EnterData_8[Competencies],MATCH(J22,EnterData_8[Competency Num],0),1),IF(ISERROR(_xlpm.x),"",_xlpm.x))</f>
        <v>Demonstrates the ability to use workforce data to inform the development and maintenance of a comprehensive system of personnel development.</v>
      </c>
      <c r="L22" s="294"/>
      <c r="M22" s="295"/>
      <c r="N22" s="296"/>
      <c r="O22" s="296"/>
      <c r="P22" s="20"/>
      <c r="Q22" s="20"/>
      <c r="R22" s="20"/>
      <c r="S22" s="20"/>
    </row>
    <row r="23" spans="1:19" ht="43.5" x14ac:dyDescent="0.35">
      <c r="A23" s="6">
        <v>17</v>
      </c>
      <c r="B23" s="26" t="s">
        <v>37</v>
      </c>
      <c r="C23" s="7" t="s">
        <v>38</v>
      </c>
      <c r="D23" s="58" t="s">
        <v>88</v>
      </c>
      <c r="E23" s="5" t="str">
        <f>EnterData_1[[#This Row],[Essential]]&amp;""</f>
        <v>Y</v>
      </c>
      <c r="F23" s="289" t="s">
        <v>189</v>
      </c>
      <c r="G23" s="53"/>
      <c r="H23" s="26" t="s">
        <v>92</v>
      </c>
      <c r="J23" s="38" t="str">
        <f>calc!C29&amp;""</f>
        <v>DC-12</v>
      </c>
      <c r="K23" s="37" t="str">
        <f>_xlfn.LET(_xlpm.x,INDEX(EnterData_8[Competencies],MATCH(J23,EnterData_8[Competency Num],0),1),IF(ISERROR(_xlpm.x),"",_xlpm.x))</f>
        <v>Demonstrates the ability to support local programs and districts to build a culture of data use.</v>
      </c>
      <c r="L23" s="294"/>
      <c r="M23" s="295"/>
      <c r="N23" s="296"/>
      <c r="O23" s="296"/>
      <c r="P23" s="20"/>
      <c r="Q23" s="20"/>
      <c r="R23" s="20"/>
      <c r="S23" s="20"/>
    </row>
    <row r="24" spans="1:19" ht="43.5" x14ac:dyDescent="0.35">
      <c r="A24" s="6">
        <v>18</v>
      </c>
      <c r="B24" s="26" t="s">
        <v>39</v>
      </c>
      <c r="C24" s="7" t="s">
        <v>40</v>
      </c>
      <c r="D24" s="58" t="s">
        <v>89</v>
      </c>
      <c r="E24" s="5" t="str">
        <f>EnterData_1[[#This Row],[Essential]]&amp;""</f>
        <v>N</v>
      </c>
      <c r="F24" s="289" t="s">
        <v>188</v>
      </c>
      <c r="G24" s="53"/>
      <c r="H24" s="26" t="s">
        <v>92</v>
      </c>
      <c r="J24" s="38" t="str">
        <f>calc!C30&amp;""</f>
        <v/>
      </c>
      <c r="K24" s="37" t="str">
        <f>_xlfn.LET(_xlpm.x,INDEX(EnterData_8[Competencies],MATCH(J24,EnterData_8[Competency Num],0),1),IF(ISERROR(_xlpm.x),"",_xlpm.x))</f>
        <v/>
      </c>
      <c r="L24" s="294"/>
      <c r="M24" s="295"/>
      <c r="N24" s="296"/>
      <c r="O24" s="296"/>
      <c r="P24" s="20"/>
      <c r="Q24" s="20"/>
      <c r="R24" s="20"/>
      <c r="S24" s="20"/>
    </row>
    <row r="25" spans="1:19" ht="43.5" x14ac:dyDescent="0.35">
      <c r="A25" s="6">
        <v>19</v>
      </c>
      <c r="B25" s="26" t="s">
        <v>41</v>
      </c>
      <c r="C25" s="7" t="s">
        <v>42</v>
      </c>
      <c r="D25" s="57" t="s">
        <v>87</v>
      </c>
      <c r="E25" s="5" t="str">
        <f>EnterData_1[[#This Row],[Essential]]&amp;""</f>
        <v>Y</v>
      </c>
      <c r="F25" s="289"/>
      <c r="G25" s="53"/>
      <c r="H25" s="26" t="s">
        <v>92</v>
      </c>
      <c r="J25" s="38" t="str">
        <f>calc!C31&amp;""</f>
        <v/>
      </c>
      <c r="K25" s="37" t="str">
        <f>_xlfn.LET(_xlpm.x,INDEX(EnterData_8[Competencies],MATCH(J25,EnterData_8[Competency Num],0),1),IF(ISERROR(_xlpm.x),"",_xlpm.x))</f>
        <v/>
      </c>
      <c r="L25" s="294"/>
      <c r="M25" s="295"/>
      <c r="N25" s="296"/>
      <c r="O25" s="296"/>
      <c r="P25" s="20"/>
      <c r="Q25" s="20"/>
      <c r="R25" s="20"/>
      <c r="S25" s="20"/>
    </row>
    <row r="26" spans="1:19" ht="29" x14ac:dyDescent="0.35">
      <c r="A26" s="6">
        <v>20</v>
      </c>
      <c r="B26" s="26" t="s">
        <v>43</v>
      </c>
      <c r="C26" s="7" t="s">
        <v>44</v>
      </c>
      <c r="D26" s="58" t="s">
        <v>87</v>
      </c>
      <c r="E26" s="5" t="str">
        <f>EnterData_1[[#This Row],[Essential]]&amp;""</f>
        <v>Y</v>
      </c>
      <c r="F26" s="289" t="s">
        <v>188</v>
      </c>
      <c r="G26" s="53"/>
      <c r="H26" s="26" t="s">
        <v>92</v>
      </c>
      <c r="J26" s="38" t="str">
        <f>calc!C32&amp;""</f>
        <v/>
      </c>
      <c r="K26" s="37" t="str">
        <f>_xlfn.LET(_xlpm.x,INDEX(EnterData_8[Competencies],MATCH(J26,EnterData_8[Competency Num],0),1),IF(ISERROR(_xlpm.x),"",_xlpm.x))</f>
        <v/>
      </c>
      <c r="L26" s="294"/>
      <c r="M26" s="295"/>
      <c r="N26" s="296"/>
      <c r="O26" s="296"/>
      <c r="P26" s="20"/>
      <c r="Q26" s="20"/>
      <c r="R26" s="20"/>
      <c r="S26" s="20"/>
    </row>
    <row r="27" spans="1:19" ht="29" x14ac:dyDescent="0.35">
      <c r="A27" s="6">
        <v>21</v>
      </c>
      <c r="B27" s="26" t="s">
        <v>45</v>
      </c>
      <c r="C27" s="7" t="s">
        <v>46</v>
      </c>
      <c r="D27" s="58" t="s">
        <v>88</v>
      </c>
      <c r="E27" s="5" t="str">
        <f>EnterData_1[[#This Row],[Essential]]&amp;""</f>
        <v>Y</v>
      </c>
      <c r="F27" s="289" t="s">
        <v>189</v>
      </c>
      <c r="G27" s="53"/>
      <c r="H27" s="26" t="s">
        <v>92</v>
      </c>
      <c r="J27" s="38" t="str">
        <f>calc!C33&amp;""</f>
        <v/>
      </c>
      <c r="K27" s="37" t="str">
        <f>_xlfn.LET(_xlpm.x,INDEX(EnterData_8[Competencies],MATCH(J27,EnterData_8[Competency Num],0),1),IF(ISERROR(_xlpm.x),"",_xlpm.x))</f>
        <v/>
      </c>
      <c r="L27" s="294"/>
      <c r="M27" s="295"/>
      <c r="N27" s="296"/>
      <c r="O27" s="296"/>
      <c r="P27" s="20"/>
      <c r="Q27" s="20"/>
      <c r="R27" s="20"/>
      <c r="S27" s="20"/>
    </row>
    <row r="28" spans="1:19" ht="43.5" x14ac:dyDescent="0.35">
      <c r="A28" s="6">
        <v>22</v>
      </c>
      <c r="B28" s="26" t="s">
        <v>47</v>
      </c>
      <c r="C28" s="7" t="s">
        <v>48</v>
      </c>
      <c r="D28" s="58" t="s">
        <v>88</v>
      </c>
      <c r="E28" s="5" t="str">
        <f>EnterData_1[[#This Row],[Essential]]&amp;""</f>
        <v>Y</v>
      </c>
      <c r="F28" s="289" t="s">
        <v>189</v>
      </c>
      <c r="G28" s="53"/>
      <c r="H28" s="26" t="s">
        <v>92</v>
      </c>
      <c r="J28" s="38" t="str">
        <f>calc!C34&amp;""</f>
        <v/>
      </c>
      <c r="K28" s="37" t="str">
        <f>_xlfn.LET(_xlpm.x,INDEX(EnterData_8[Competencies],MATCH(J28,EnterData_8[Competency Num],0),1),IF(ISERROR(_xlpm.x),"",_xlpm.x))</f>
        <v/>
      </c>
      <c r="L28" s="294"/>
      <c r="M28" s="295"/>
      <c r="N28" s="296"/>
      <c r="O28" s="296"/>
      <c r="P28" s="20"/>
      <c r="Q28" s="20"/>
      <c r="R28" s="20"/>
      <c r="S28" s="20"/>
    </row>
    <row r="29" spans="1:19" ht="43.5" x14ac:dyDescent="0.35">
      <c r="A29" s="6">
        <v>23</v>
      </c>
      <c r="B29" s="322" t="s">
        <v>49</v>
      </c>
      <c r="C29" s="323" t="s">
        <v>50</v>
      </c>
      <c r="D29" s="299" t="s">
        <v>87</v>
      </c>
      <c r="E29" s="300" t="str">
        <f>EnterData_1[[#This Row],[Essential]]&amp;""</f>
        <v>Y</v>
      </c>
      <c r="F29" s="301"/>
      <c r="G29" s="302"/>
      <c r="H29" s="26" t="s">
        <v>92</v>
      </c>
      <c r="J29" s="38" t="str">
        <f>calc!C35&amp;""</f>
        <v/>
      </c>
      <c r="K29" s="37" t="str">
        <f>_xlfn.LET(_xlpm.x,INDEX(EnterData_8[Competencies],MATCH(J29,EnterData_8[Competency Num],0),1),IF(ISERROR(_xlpm.x),"",_xlpm.x))</f>
        <v/>
      </c>
      <c r="L29" s="294"/>
      <c r="M29" s="295"/>
      <c r="N29" s="296"/>
      <c r="O29" s="296"/>
      <c r="P29" s="20"/>
      <c r="Q29" s="20"/>
      <c r="R29" s="20"/>
      <c r="S29" s="20"/>
    </row>
    <row r="30" spans="1:19" ht="29" x14ac:dyDescent="0.35">
      <c r="A30" s="8">
        <v>24</v>
      </c>
      <c r="B30" s="321" t="s">
        <v>51</v>
      </c>
      <c r="C30" s="21" t="s">
        <v>52</v>
      </c>
      <c r="D30" s="57" t="s">
        <v>88</v>
      </c>
      <c r="E30" s="2" t="str">
        <f>EnterData_1[[#This Row],[Essential]]&amp;""</f>
        <v>N</v>
      </c>
      <c r="F30" s="288" t="s">
        <v>188</v>
      </c>
      <c r="G30" s="318"/>
      <c r="H30" s="27" t="s">
        <v>93</v>
      </c>
      <c r="J30" s="38" t="str">
        <f>calc!C36&amp;""</f>
        <v/>
      </c>
      <c r="K30" s="37" t="str">
        <f>_xlfn.LET(_xlpm.x,INDEX(EnterData_8[Competencies],MATCH(J30,EnterData_8[Competency Num],0),1),IF(ISERROR(_xlpm.x),"",_xlpm.x))</f>
        <v/>
      </c>
      <c r="L30" s="294"/>
      <c r="M30" s="295"/>
      <c r="N30" s="296"/>
      <c r="O30" s="296"/>
      <c r="P30" s="20"/>
      <c r="Q30" s="20"/>
      <c r="R30" s="20"/>
      <c r="S30" s="20"/>
    </row>
    <row r="31" spans="1:19" ht="43.5" x14ac:dyDescent="0.35">
      <c r="A31" s="8">
        <v>25</v>
      </c>
      <c r="B31" s="27" t="s">
        <v>53</v>
      </c>
      <c r="C31" s="4" t="s">
        <v>54</v>
      </c>
      <c r="D31" s="58" t="s">
        <v>87</v>
      </c>
      <c r="E31" s="5" t="str">
        <f>EnterData_1[[#This Row],[Essential]]&amp;""</f>
        <v>Y</v>
      </c>
      <c r="F31" s="289"/>
      <c r="G31" s="53"/>
      <c r="H31" s="27" t="s">
        <v>93</v>
      </c>
      <c r="J31" s="38" t="str">
        <f>calc!C37&amp;""</f>
        <v/>
      </c>
      <c r="K31" s="37" t="str">
        <f>_xlfn.LET(_xlpm.x,INDEX(EnterData_8[Competencies],MATCH(J31,EnterData_8[Competency Num],0),1),IF(ISERROR(_xlpm.x),"",_xlpm.x))</f>
        <v/>
      </c>
      <c r="L31" s="294"/>
      <c r="M31" s="295"/>
      <c r="N31" s="296"/>
      <c r="O31" s="296"/>
      <c r="P31" s="20"/>
      <c r="Q31" s="20"/>
      <c r="R31" s="20"/>
      <c r="S31" s="20"/>
    </row>
    <row r="32" spans="1:19" ht="29" x14ac:dyDescent="0.35">
      <c r="A32" s="8">
        <v>26</v>
      </c>
      <c r="B32" s="27" t="s">
        <v>55</v>
      </c>
      <c r="C32" s="4" t="s">
        <v>56</v>
      </c>
      <c r="D32" s="58" t="s">
        <v>87</v>
      </c>
      <c r="E32" s="5" t="str">
        <f>EnterData_1[[#This Row],[Essential]]&amp;""</f>
        <v>Y</v>
      </c>
      <c r="F32" s="289"/>
      <c r="G32" s="53"/>
      <c r="H32" s="27" t="s">
        <v>93</v>
      </c>
      <c r="J32" s="38" t="str">
        <f>calc!C38&amp;""</f>
        <v/>
      </c>
      <c r="K32" s="37" t="str">
        <f>_xlfn.LET(_xlpm.x,INDEX(EnterData_8[Competencies],MATCH(J32,EnterData_8[Competency Num],0),1),IF(ISERROR(_xlpm.x),"",_xlpm.x))</f>
        <v/>
      </c>
      <c r="L32" s="294"/>
      <c r="M32" s="295"/>
      <c r="N32" s="296"/>
      <c r="O32" s="296"/>
      <c r="P32" s="20"/>
      <c r="Q32" s="20"/>
      <c r="R32" s="20"/>
      <c r="S32" s="20"/>
    </row>
    <row r="33" spans="1:19" ht="29" x14ac:dyDescent="0.35">
      <c r="A33" s="8">
        <v>27</v>
      </c>
      <c r="B33" s="27" t="s">
        <v>57</v>
      </c>
      <c r="C33" s="4" t="s">
        <v>58</v>
      </c>
      <c r="D33" s="58" t="s">
        <v>88</v>
      </c>
      <c r="E33" s="5" t="str">
        <f>EnterData_1[[#This Row],[Essential]]&amp;""</f>
        <v>Y</v>
      </c>
      <c r="F33" s="289" t="s">
        <v>189</v>
      </c>
      <c r="G33" s="53"/>
      <c r="H33" s="27" t="s">
        <v>93</v>
      </c>
      <c r="J33" s="38" t="str">
        <f>calc!C39&amp;""</f>
        <v/>
      </c>
      <c r="K33" s="37" t="str">
        <f>_xlfn.LET(_xlpm.x,INDEX(EnterData_8[Competencies],MATCH(J33,EnterData_8[Competency Num],0),1),IF(ISERROR(_xlpm.x),"",_xlpm.x))</f>
        <v/>
      </c>
      <c r="L33" s="294"/>
      <c r="M33" s="295"/>
      <c r="N33" s="296"/>
      <c r="O33" s="296"/>
      <c r="P33" s="20"/>
      <c r="Q33" s="20"/>
      <c r="R33" s="20"/>
      <c r="S33" s="20"/>
    </row>
    <row r="34" spans="1:19" ht="29" x14ac:dyDescent="0.35">
      <c r="A34" s="8">
        <v>28</v>
      </c>
      <c r="B34" s="27" t="s">
        <v>59</v>
      </c>
      <c r="C34" s="4" t="s">
        <v>60</v>
      </c>
      <c r="D34" s="57" t="s">
        <v>88</v>
      </c>
      <c r="E34" s="5" t="str">
        <f>EnterData_1[[#This Row],[Essential]]&amp;""</f>
        <v>Y</v>
      </c>
      <c r="F34" s="289" t="s">
        <v>189</v>
      </c>
      <c r="G34" s="53"/>
      <c r="H34" s="27" t="s">
        <v>93</v>
      </c>
      <c r="J34" s="38" t="str">
        <f>calc!C40&amp;""</f>
        <v/>
      </c>
      <c r="K34" s="37" t="str">
        <f>_xlfn.LET(_xlpm.x,INDEX(EnterData_8[Competencies],MATCH(J34,EnterData_8[Competency Num],0),1),IF(ISERROR(_xlpm.x),"",_xlpm.x))</f>
        <v/>
      </c>
      <c r="L34" s="294"/>
      <c r="M34" s="295"/>
      <c r="N34" s="296"/>
      <c r="O34" s="296"/>
      <c r="P34" s="20"/>
      <c r="Q34" s="20"/>
      <c r="R34" s="20"/>
      <c r="S34" s="20"/>
    </row>
    <row r="35" spans="1:19" ht="58" x14ac:dyDescent="0.35">
      <c r="A35" s="8">
        <v>29</v>
      </c>
      <c r="B35" s="27" t="s">
        <v>61</v>
      </c>
      <c r="C35" s="4" t="s">
        <v>62</v>
      </c>
      <c r="D35" s="58" t="s">
        <v>88</v>
      </c>
      <c r="E35" s="5" t="str">
        <f>EnterData_1[[#This Row],[Essential]]&amp;""</f>
        <v>Y</v>
      </c>
      <c r="F35" s="289" t="s">
        <v>189</v>
      </c>
      <c r="G35" s="53"/>
      <c r="H35" s="27" t="s">
        <v>93</v>
      </c>
      <c r="J35" s="38" t="str">
        <f>calc!C41&amp;""</f>
        <v/>
      </c>
      <c r="K35" s="37" t="str">
        <f>_xlfn.LET(_xlpm.x,INDEX(EnterData_8[Competencies],MATCH(J35,EnterData_8[Competency Num],0),1),IF(ISERROR(_xlpm.x),"",_xlpm.x))</f>
        <v/>
      </c>
      <c r="L35" s="294"/>
      <c r="M35" s="295"/>
      <c r="N35" s="296"/>
      <c r="O35" s="296"/>
      <c r="P35" s="20"/>
      <c r="Q35" s="20"/>
      <c r="R35" s="20"/>
      <c r="S35" s="20"/>
    </row>
    <row r="36" spans="1:19" ht="43.5" x14ac:dyDescent="0.35">
      <c r="A36" s="8">
        <v>30</v>
      </c>
      <c r="B36" s="27" t="s">
        <v>63</v>
      </c>
      <c r="C36" s="4" t="s">
        <v>64</v>
      </c>
      <c r="D36" s="58" t="s">
        <v>88</v>
      </c>
      <c r="E36" s="5" t="str">
        <f>EnterData_1[[#This Row],[Essential]]&amp;""</f>
        <v>Y</v>
      </c>
      <c r="F36" s="289" t="s">
        <v>189</v>
      </c>
      <c r="G36" s="53"/>
      <c r="H36" s="27" t="s">
        <v>93</v>
      </c>
      <c r="J36" s="38" t="str">
        <f>calc!C42&amp;""</f>
        <v/>
      </c>
      <c r="K36" s="37" t="str">
        <f>_xlfn.LET(_xlpm.x,INDEX(EnterData_8[Competencies],MATCH(J36,EnterData_8[Competency Num],0),1),IF(ISERROR(_xlpm.x),"",_xlpm.x))</f>
        <v/>
      </c>
      <c r="L36" s="294"/>
      <c r="M36" s="295"/>
      <c r="N36" s="296"/>
      <c r="O36" s="296"/>
      <c r="P36" s="20"/>
      <c r="Q36" s="20"/>
      <c r="R36" s="20"/>
      <c r="S36" s="20"/>
    </row>
    <row r="37" spans="1:19" ht="43.5" x14ac:dyDescent="0.35">
      <c r="A37" s="8">
        <v>31</v>
      </c>
      <c r="B37" s="27" t="s">
        <v>65</v>
      </c>
      <c r="C37" s="4" t="s">
        <v>66</v>
      </c>
      <c r="D37" s="58" t="s">
        <v>88</v>
      </c>
      <c r="E37" s="5" t="str">
        <f>EnterData_1[[#This Row],[Essential]]&amp;""</f>
        <v>Y</v>
      </c>
      <c r="F37" s="289" t="s">
        <v>189</v>
      </c>
      <c r="G37" s="53"/>
      <c r="H37" s="27" t="s">
        <v>93</v>
      </c>
      <c r="J37" s="38" t="str">
        <f>calc!C43&amp;""</f>
        <v/>
      </c>
      <c r="K37" s="37" t="str">
        <f>_xlfn.LET(_xlpm.x,INDEX(EnterData_8[Competencies],MATCH(J37,EnterData_8[Competency Num],0),1),IF(ISERROR(_xlpm.x),"",_xlpm.x))</f>
        <v/>
      </c>
      <c r="L37" s="294"/>
      <c r="M37" s="295"/>
      <c r="N37" s="296"/>
      <c r="O37" s="296"/>
      <c r="P37" s="20"/>
      <c r="Q37" s="20"/>
      <c r="R37" s="20"/>
      <c r="S37" s="20"/>
    </row>
    <row r="38" spans="1:19" ht="58" x14ac:dyDescent="0.35">
      <c r="A38" s="8">
        <v>32</v>
      </c>
      <c r="B38" s="27" t="s">
        <v>67</v>
      </c>
      <c r="C38" s="4" t="s">
        <v>68</v>
      </c>
      <c r="D38" s="58" t="s">
        <v>88</v>
      </c>
      <c r="E38" s="5" t="str">
        <f>EnterData_1[[#This Row],[Essential]]&amp;""</f>
        <v>Y</v>
      </c>
      <c r="F38" s="289" t="s">
        <v>189</v>
      </c>
      <c r="G38" s="53"/>
      <c r="H38" s="27" t="s">
        <v>93</v>
      </c>
      <c r="J38" s="38" t="str">
        <f>calc!C44&amp;""</f>
        <v/>
      </c>
      <c r="K38" s="37" t="str">
        <f>_xlfn.LET(_xlpm.x,INDEX(EnterData_8[Competencies],MATCH(J38,EnterData_8[Competency Num],0),1),IF(ISERROR(_xlpm.x),"",_xlpm.x))</f>
        <v/>
      </c>
      <c r="L38" s="294"/>
      <c r="M38" s="295"/>
      <c r="N38" s="296"/>
      <c r="O38" s="296"/>
      <c r="P38" s="20"/>
      <c r="Q38" s="20"/>
      <c r="R38" s="20"/>
      <c r="S38" s="20"/>
    </row>
    <row r="39" spans="1:19" ht="43.5" x14ac:dyDescent="0.35">
      <c r="A39" s="8">
        <v>33</v>
      </c>
      <c r="B39" s="27" t="s">
        <v>69</v>
      </c>
      <c r="C39" s="4" t="s">
        <v>70</v>
      </c>
      <c r="D39" s="58" t="s">
        <v>88</v>
      </c>
      <c r="E39" s="5" t="str">
        <f>EnterData_1[[#This Row],[Essential]]&amp;""</f>
        <v>Y</v>
      </c>
      <c r="F39" s="289" t="s">
        <v>189</v>
      </c>
      <c r="G39" s="53"/>
      <c r="H39" s="27" t="s">
        <v>93</v>
      </c>
      <c r="J39" s="38" t="str">
        <f>calc!C45&amp;""</f>
        <v/>
      </c>
      <c r="K39" s="37" t="str">
        <f>_xlfn.LET(_xlpm.x,INDEX(EnterData_8[Competencies],MATCH(J39,EnterData_8[Competency Num],0),1),IF(ISERROR(_xlpm.x),"",_xlpm.x))</f>
        <v/>
      </c>
      <c r="L39" s="294"/>
      <c r="M39" s="295"/>
      <c r="N39" s="296"/>
      <c r="O39" s="296"/>
      <c r="P39" s="20"/>
      <c r="Q39" s="20"/>
      <c r="R39" s="20"/>
      <c r="S39" s="20"/>
    </row>
    <row r="40" spans="1:19" ht="43.5" x14ac:dyDescent="0.35">
      <c r="A40" s="8">
        <v>34</v>
      </c>
      <c r="B40" s="27" t="s">
        <v>71</v>
      </c>
      <c r="C40" s="4" t="s">
        <v>72</v>
      </c>
      <c r="D40" s="58" t="s">
        <v>87</v>
      </c>
      <c r="E40" s="5" t="str">
        <f>EnterData_1[[#This Row],[Essential]]&amp;""</f>
        <v>Y</v>
      </c>
      <c r="F40" s="289"/>
      <c r="G40" s="53"/>
      <c r="H40" s="27" t="s">
        <v>93</v>
      </c>
      <c r="J40" s="38" t="str">
        <f>calc!C46&amp;""</f>
        <v/>
      </c>
      <c r="K40" s="37" t="str">
        <f>_xlfn.LET(_xlpm.x,INDEX(EnterData_8[Competencies],MATCH(J40,EnterData_8[Competency Num],0),1),IF(ISERROR(_xlpm.x),"",_xlpm.x))</f>
        <v/>
      </c>
      <c r="L40" s="294"/>
      <c r="M40" s="295"/>
      <c r="N40" s="296"/>
      <c r="O40" s="296"/>
      <c r="P40" s="20"/>
      <c r="Q40" s="20"/>
      <c r="R40" s="20"/>
      <c r="S40" s="20"/>
    </row>
    <row r="41" spans="1:19" ht="29" x14ac:dyDescent="0.35">
      <c r="A41" s="8">
        <v>35</v>
      </c>
      <c r="B41" s="27" t="s">
        <v>73</v>
      </c>
      <c r="C41" s="4" t="s">
        <v>74</v>
      </c>
      <c r="D41" s="58" t="s">
        <v>88</v>
      </c>
      <c r="E41" s="5" t="str">
        <f>EnterData_1[[#This Row],[Essential]]&amp;""</f>
        <v>Y</v>
      </c>
      <c r="F41" s="289" t="s">
        <v>189</v>
      </c>
      <c r="G41" s="53"/>
      <c r="H41" s="27" t="s">
        <v>93</v>
      </c>
      <c r="J41" s="38" t="str">
        <f>calc!C47&amp;""</f>
        <v/>
      </c>
      <c r="K41" s="37" t="str">
        <f>_xlfn.LET(_xlpm.x,INDEX(EnterData_8[Competencies],MATCH(J41,EnterData_8[Competency Num],0),1),IF(ISERROR(_xlpm.x),"",_xlpm.x))</f>
        <v/>
      </c>
      <c r="L41" s="294"/>
      <c r="M41" s="295"/>
      <c r="N41" s="296"/>
      <c r="O41" s="296"/>
      <c r="P41" s="20"/>
      <c r="Q41" s="20"/>
      <c r="R41" s="20"/>
      <c r="S41" s="20"/>
    </row>
    <row r="42" spans="1:19" ht="43.5" x14ac:dyDescent="0.35">
      <c r="A42" s="9">
        <v>36</v>
      </c>
      <c r="B42" s="29" t="s">
        <v>75</v>
      </c>
      <c r="C42" s="42" t="s">
        <v>76</v>
      </c>
      <c r="D42" s="59" t="s">
        <v>89</v>
      </c>
      <c r="E42" s="30" t="str">
        <f>EnterData_1[[#This Row],[Essential]]&amp;""</f>
        <v>N</v>
      </c>
      <c r="F42" s="290" t="s">
        <v>188</v>
      </c>
      <c r="G42" s="54"/>
      <c r="H42" s="29" t="s">
        <v>93</v>
      </c>
      <c r="J42" s="38" t="str">
        <f>calc!C48&amp;""</f>
        <v/>
      </c>
      <c r="K42" s="37" t="str">
        <f>_xlfn.LET(_xlpm.x,INDEX(EnterData_8[Competencies],MATCH(J42,EnterData_8[Competency Num],0),1),IF(ISERROR(_xlpm.x),"",_xlpm.x))</f>
        <v/>
      </c>
      <c r="L42" s="294"/>
      <c r="M42" s="295"/>
      <c r="N42" s="296"/>
      <c r="O42" s="296"/>
      <c r="P42" s="20"/>
      <c r="Q42" s="20"/>
      <c r="R42" s="20"/>
      <c r="S42" s="20"/>
    </row>
    <row r="43" spans="1:19" x14ac:dyDescent="0.35">
      <c r="A43" s="20"/>
      <c r="B43" s="55"/>
      <c r="C43" s="51"/>
      <c r="D43" s="10"/>
      <c r="E43" s="10"/>
      <c r="F43" s="20"/>
      <c r="G43" s="20"/>
      <c r="H43" s="20"/>
      <c r="I43" s="20"/>
      <c r="J43" s="20"/>
      <c r="K43" s="20"/>
      <c r="L43" s="20"/>
      <c r="M43" s="20"/>
      <c r="N43" s="20"/>
      <c r="O43" s="20"/>
      <c r="P43" s="20"/>
      <c r="Q43" s="20"/>
      <c r="R43" s="20"/>
      <c r="S43" s="20"/>
    </row>
    <row r="44" spans="1:19" x14ac:dyDescent="0.35">
      <c r="A44" s="20"/>
      <c r="B44" s="56" t="s">
        <v>77</v>
      </c>
      <c r="C44" s="74" t="s">
        <v>78</v>
      </c>
      <c r="D44" s="11" t="s">
        <v>79</v>
      </c>
      <c r="E44" s="65" t="s">
        <v>80</v>
      </c>
      <c r="F44" s="65"/>
      <c r="G44" s="20"/>
      <c r="H44" s="20"/>
      <c r="I44" s="20"/>
      <c r="J44" s="20"/>
      <c r="K44" s="20"/>
      <c r="L44" s="20"/>
      <c r="M44" s="20"/>
      <c r="N44" s="20"/>
      <c r="O44" s="20"/>
      <c r="P44" s="20"/>
      <c r="Q44" s="20"/>
      <c r="R44" s="20"/>
      <c r="S44" s="20"/>
    </row>
    <row r="45" spans="1:19" x14ac:dyDescent="0.35">
      <c r="A45" s="20"/>
      <c r="B45" s="23" t="s">
        <v>89</v>
      </c>
      <c r="C45" s="75" t="s">
        <v>191</v>
      </c>
      <c r="D45" s="12" cm="1">
        <f t="array" ref="D45:D47">_xlfn.ANCHORARRAY(D50)+_xlfn.ANCHORARRAY(D55)+_xlfn.ANCHORARRAY(D60)</f>
        <v>2</v>
      </c>
      <c r="E45" s="66" cm="1">
        <f t="array" ref="E45:E47">_xlfn.ANCHORARRAY(E50)+_xlfn.ANCHORARRAY(E55)+_xlfn.ANCHORARRAY(E60)</f>
        <v>0</v>
      </c>
      <c r="F45" s="66"/>
      <c r="G45" s="20"/>
      <c r="H45" s="20"/>
      <c r="I45" s="20"/>
      <c r="J45" s="20"/>
      <c r="K45" s="20"/>
      <c r="L45" s="20"/>
      <c r="M45" s="20"/>
      <c r="N45" s="20"/>
      <c r="O45" s="20"/>
      <c r="P45" s="20"/>
      <c r="Q45" s="20"/>
      <c r="R45" s="20"/>
      <c r="S45" s="20"/>
    </row>
    <row r="46" spans="1:19" x14ac:dyDescent="0.35">
      <c r="A46" s="20"/>
      <c r="B46" s="23" t="s">
        <v>88</v>
      </c>
      <c r="C46" s="76" t="s">
        <v>193</v>
      </c>
      <c r="D46" s="13">
        <v>21</v>
      </c>
      <c r="E46" s="67">
        <v>18</v>
      </c>
      <c r="F46" s="67"/>
      <c r="G46" s="20"/>
      <c r="H46" s="20"/>
      <c r="I46" s="20"/>
      <c r="J46" s="20"/>
      <c r="K46" s="20"/>
      <c r="L46" s="20"/>
      <c r="M46" s="20"/>
      <c r="N46" s="20"/>
      <c r="O46" s="20"/>
      <c r="P46" s="20"/>
      <c r="Q46" s="20"/>
      <c r="R46" s="20"/>
      <c r="S46" s="20"/>
    </row>
    <row r="47" spans="1:19" x14ac:dyDescent="0.35">
      <c r="A47" s="20"/>
      <c r="B47" s="23" t="s">
        <v>87</v>
      </c>
      <c r="C47" s="77" t="s">
        <v>195</v>
      </c>
      <c r="D47" s="14">
        <v>13</v>
      </c>
      <c r="E47" s="68">
        <v>13</v>
      </c>
      <c r="F47" s="68"/>
      <c r="G47" s="20"/>
      <c r="H47" s="20"/>
      <c r="I47" s="20"/>
      <c r="J47" s="20"/>
      <c r="K47" s="20"/>
      <c r="L47" s="20"/>
      <c r="M47" s="20"/>
      <c r="N47" s="20"/>
      <c r="O47" s="20"/>
      <c r="P47" s="20"/>
      <c r="Q47" s="20"/>
      <c r="R47" s="20"/>
      <c r="S47" s="20"/>
    </row>
    <row r="48" spans="1:19" x14ac:dyDescent="0.35">
      <c r="A48" s="20"/>
      <c r="B48" s="15"/>
      <c r="C48" s="78"/>
      <c r="D48" s="15"/>
      <c r="E48" s="69"/>
      <c r="F48" s="69"/>
      <c r="G48" s="20"/>
      <c r="H48" s="20"/>
      <c r="I48" s="20"/>
      <c r="J48" s="20"/>
      <c r="K48" s="20"/>
      <c r="L48" s="20"/>
      <c r="M48" s="20"/>
      <c r="N48" s="20"/>
      <c r="O48" s="20"/>
      <c r="P48" s="20"/>
      <c r="Q48" s="20"/>
      <c r="R48" s="20"/>
      <c r="S48" s="20"/>
    </row>
    <row r="49" spans="1:19" x14ac:dyDescent="0.35">
      <c r="A49" s="20"/>
      <c r="B49" s="15"/>
      <c r="C49" s="79" t="s">
        <v>81</v>
      </c>
      <c r="D49" s="16" t="s">
        <v>79</v>
      </c>
      <c r="E49" s="70" t="s">
        <v>80</v>
      </c>
      <c r="F49" s="70"/>
      <c r="G49" s="20"/>
      <c r="H49" s="20"/>
      <c r="I49" s="20"/>
      <c r="J49" s="20"/>
      <c r="K49" s="20"/>
      <c r="L49" s="20"/>
      <c r="M49" s="20"/>
      <c r="N49" s="20"/>
      <c r="O49" s="20"/>
      <c r="P49" s="20"/>
      <c r="Q49" s="20"/>
      <c r="R49" s="20"/>
      <c r="S49" s="20"/>
    </row>
    <row r="50" spans="1:19" x14ac:dyDescent="0.35">
      <c r="A50" s="20"/>
      <c r="B50" s="15"/>
      <c r="C50" s="75" t="s">
        <v>191</v>
      </c>
      <c r="D50" s="12" cm="1">
        <f t="array" ref="D50:D52">COUNTIFS(D$7:D$42,$B$45:$B$47,EnterData_2[Component],"FD")</f>
        <v>0</v>
      </c>
      <c r="E50" s="66" cm="1">
        <f t="array" ref="E50:E52">COUNTIFS(D$7:D$42,$B$45:$B$47,EnterData_2[Component],"FD",E$7:E$42,"Y")</f>
        <v>0</v>
      </c>
      <c r="F50" s="66"/>
      <c r="G50" s="20"/>
      <c r="H50" s="20"/>
      <c r="I50" s="20"/>
      <c r="J50" s="20"/>
      <c r="K50" s="20"/>
      <c r="L50" s="20"/>
      <c r="M50" s="20"/>
      <c r="N50" s="20"/>
      <c r="O50" s="20"/>
      <c r="P50" s="20"/>
      <c r="Q50" s="20"/>
      <c r="R50" s="20"/>
      <c r="S50" s="20"/>
    </row>
    <row r="51" spans="1:19" x14ac:dyDescent="0.35">
      <c r="A51" s="20"/>
      <c r="B51" s="15"/>
      <c r="C51" s="76" t="s">
        <v>193</v>
      </c>
      <c r="D51" s="13">
        <v>7</v>
      </c>
      <c r="E51" s="67">
        <v>6</v>
      </c>
      <c r="F51" s="67"/>
      <c r="G51" s="20"/>
      <c r="H51" s="20"/>
      <c r="I51" s="20"/>
      <c r="J51" s="20"/>
      <c r="K51" s="20"/>
      <c r="L51" s="20"/>
      <c r="M51" s="20"/>
      <c r="N51" s="20"/>
      <c r="O51" s="20"/>
      <c r="P51" s="20"/>
      <c r="Q51" s="20"/>
      <c r="R51" s="20"/>
      <c r="S51" s="20"/>
    </row>
    <row r="52" spans="1:19" x14ac:dyDescent="0.35">
      <c r="A52" s="20"/>
      <c r="B52" s="15"/>
      <c r="C52" s="77" t="s">
        <v>195</v>
      </c>
      <c r="D52" s="14">
        <v>3</v>
      </c>
      <c r="E52" s="68">
        <v>3</v>
      </c>
      <c r="F52" s="68"/>
      <c r="G52" s="20"/>
      <c r="H52" s="20"/>
      <c r="I52" s="20"/>
      <c r="J52" s="20"/>
      <c r="K52" s="20"/>
      <c r="L52" s="20"/>
      <c r="M52" s="20"/>
      <c r="N52" s="20"/>
      <c r="O52" s="20"/>
      <c r="P52" s="20"/>
      <c r="Q52" s="20"/>
      <c r="R52" s="20"/>
      <c r="S52" s="20"/>
    </row>
    <row r="53" spans="1:19" x14ac:dyDescent="0.35">
      <c r="A53" s="20"/>
      <c r="B53" s="15"/>
      <c r="C53" s="78"/>
      <c r="D53" s="15"/>
      <c r="E53" s="69"/>
      <c r="F53" s="69"/>
      <c r="G53" s="20"/>
      <c r="H53" s="20"/>
      <c r="I53" s="20"/>
      <c r="J53" s="20"/>
      <c r="K53" s="20"/>
      <c r="L53" s="20"/>
      <c r="M53" s="20"/>
      <c r="N53" s="20"/>
      <c r="O53" s="20"/>
      <c r="P53" s="20"/>
      <c r="Q53" s="20"/>
      <c r="R53" s="20"/>
      <c r="S53" s="20"/>
    </row>
    <row r="54" spans="1:19" x14ac:dyDescent="0.35">
      <c r="A54" s="20"/>
      <c r="B54" s="15"/>
      <c r="C54" s="80" t="s">
        <v>82</v>
      </c>
      <c r="D54" s="17" t="s">
        <v>79</v>
      </c>
      <c r="E54" s="71" t="s">
        <v>80</v>
      </c>
      <c r="F54" s="71"/>
      <c r="G54" s="20"/>
      <c r="H54" s="20"/>
      <c r="I54" s="20"/>
      <c r="J54" s="20"/>
      <c r="K54" s="20"/>
      <c r="L54" s="20"/>
      <c r="M54" s="20"/>
      <c r="N54" s="20"/>
      <c r="O54" s="20"/>
      <c r="P54" s="20"/>
      <c r="Q54" s="20"/>
      <c r="R54" s="20"/>
      <c r="S54" s="20"/>
    </row>
    <row r="55" spans="1:19" x14ac:dyDescent="0.35">
      <c r="A55" s="20"/>
      <c r="B55" s="15"/>
      <c r="C55" s="75" t="s">
        <v>191</v>
      </c>
      <c r="D55" s="12" cm="1">
        <f t="array" ref="D55:D57">COUNTIFS(D$7:D$42,$B$45:$B$47,EnterData_2[Component],"IN")</f>
        <v>1</v>
      </c>
      <c r="E55" s="66" cm="1">
        <f t="array" ref="E55:E57">COUNTIFS(D$7:D$42,$B$45:$B$47,EnterData_2[Component],"IN",E$7:E$42,"Y")</f>
        <v>0</v>
      </c>
      <c r="F55" s="66"/>
      <c r="G55" s="20"/>
      <c r="H55" s="20"/>
      <c r="I55" s="20"/>
      <c r="J55" s="20"/>
      <c r="K55" s="20"/>
      <c r="L55" s="20"/>
      <c r="M55" s="20"/>
      <c r="N55" s="20"/>
      <c r="O55" s="20"/>
      <c r="P55" s="20"/>
      <c r="Q55" s="20"/>
      <c r="R55" s="20"/>
      <c r="S55" s="20"/>
    </row>
    <row r="56" spans="1:19" x14ac:dyDescent="0.35">
      <c r="A56" s="20"/>
      <c r="B56" s="15"/>
      <c r="C56" s="76" t="s">
        <v>193</v>
      </c>
      <c r="D56" s="13">
        <v>5</v>
      </c>
      <c r="E56" s="67">
        <v>4</v>
      </c>
      <c r="F56" s="67"/>
      <c r="G56" s="20"/>
      <c r="H56" s="20"/>
      <c r="I56" s="20"/>
      <c r="J56" s="20"/>
      <c r="K56" s="20"/>
      <c r="L56" s="20"/>
      <c r="M56" s="20"/>
      <c r="N56" s="20"/>
      <c r="O56" s="20"/>
      <c r="P56" s="20"/>
      <c r="Q56" s="20"/>
      <c r="R56" s="20"/>
      <c r="S56" s="20"/>
    </row>
    <row r="57" spans="1:19" x14ac:dyDescent="0.35">
      <c r="A57" s="20"/>
      <c r="B57" s="15"/>
      <c r="C57" s="77" t="s">
        <v>195</v>
      </c>
      <c r="D57" s="14">
        <v>7</v>
      </c>
      <c r="E57" s="68">
        <v>7</v>
      </c>
      <c r="F57" s="68"/>
      <c r="G57" s="20"/>
      <c r="H57" s="20"/>
      <c r="I57" s="20"/>
      <c r="J57" s="20"/>
      <c r="K57" s="20"/>
      <c r="L57" s="20"/>
      <c r="M57" s="20"/>
      <c r="N57" s="20"/>
      <c r="O57" s="20"/>
      <c r="P57" s="20"/>
      <c r="Q57" s="20"/>
      <c r="R57" s="20"/>
      <c r="S57" s="20"/>
    </row>
    <row r="58" spans="1:19" x14ac:dyDescent="0.35">
      <c r="A58" s="20"/>
      <c r="B58" s="15"/>
      <c r="C58" s="78"/>
      <c r="D58" s="15"/>
      <c r="E58" s="69"/>
      <c r="F58" s="69"/>
      <c r="G58" s="20"/>
      <c r="H58" s="20"/>
      <c r="I58" s="20"/>
      <c r="J58" s="20"/>
      <c r="K58" s="20"/>
      <c r="L58" s="20"/>
      <c r="M58" s="20"/>
      <c r="N58" s="20"/>
      <c r="O58" s="20"/>
      <c r="P58" s="20"/>
      <c r="Q58" s="20"/>
      <c r="R58" s="20"/>
      <c r="S58" s="20"/>
    </row>
    <row r="59" spans="1:19" x14ac:dyDescent="0.35">
      <c r="A59" s="20"/>
      <c r="B59" s="15"/>
      <c r="C59" s="81" t="s">
        <v>83</v>
      </c>
      <c r="D59" s="18" t="s">
        <v>79</v>
      </c>
      <c r="E59" s="72" t="s">
        <v>80</v>
      </c>
      <c r="F59" s="72"/>
      <c r="G59" s="20"/>
      <c r="H59" s="20"/>
      <c r="I59" s="20"/>
      <c r="J59" s="20"/>
      <c r="K59" s="20"/>
      <c r="L59" s="20"/>
      <c r="M59" s="20"/>
      <c r="N59" s="20"/>
      <c r="O59" s="20"/>
      <c r="P59" s="20"/>
      <c r="Q59" s="20"/>
      <c r="R59" s="20"/>
      <c r="S59" s="20"/>
    </row>
    <row r="60" spans="1:19" x14ac:dyDescent="0.35">
      <c r="A60" s="20"/>
      <c r="B60" s="15"/>
      <c r="C60" s="75" t="s">
        <v>191</v>
      </c>
      <c r="D60" s="19" cm="1">
        <f t="array" ref="D60:D62">COUNTIFS(D$7:D$42,$B$45:$B$47,EnterData_2[Component],"DC")</f>
        <v>1</v>
      </c>
      <c r="E60" s="73" cm="1">
        <f t="array" ref="E60:E62">COUNTIFS(D$7:D$42,$B$45:$B$47,EnterData_2[Component],"DC",E$7:E$42,"Y")</f>
        <v>0</v>
      </c>
      <c r="F60" s="73"/>
      <c r="G60" s="20"/>
      <c r="H60" s="20"/>
      <c r="I60" s="20"/>
      <c r="J60" s="20"/>
      <c r="K60" s="20"/>
      <c r="L60" s="20"/>
      <c r="M60" s="20"/>
      <c r="N60" s="20"/>
      <c r="O60" s="20"/>
      <c r="P60" s="20"/>
      <c r="Q60" s="20"/>
      <c r="R60" s="20"/>
      <c r="S60" s="20"/>
    </row>
    <row r="61" spans="1:19" x14ac:dyDescent="0.35">
      <c r="A61" s="20"/>
      <c r="B61" s="15"/>
      <c r="C61" s="76" t="s">
        <v>193</v>
      </c>
      <c r="D61" s="13">
        <v>9</v>
      </c>
      <c r="E61" s="67">
        <v>8</v>
      </c>
      <c r="F61" s="67"/>
      <c r="G61" s="20"/>
      <c r="H61" s="20"/>
      <c r="I61" s="20"/>
      <c r="J61" s="20"/>
      <c r="K61" s="20"/>
      <c r="L61" s="20"/>
      <c r="M61" s="20"/>
      <c r="N61" s="20"/>
      <c r="O61" s="20"/>
      <c r="P61" s="20"/>
      <c r="Q61" s="20"/>
      <c r="R61" s="20"/>
      <c r="S61" s="20"/>
    </row>
    <row r="62" spans="1:19" x14ac:dyDescent="0.35">
      <c r="A62" s="20"/>
      <c r="B62" s="15"/>
      <c r="C62" s="77" t="s">
        <v>195</v>
      </c>
      <c r="D62" s="14">
        <v>3</v>
      </c>
      <c r="E62" s="68">
        <v>3</v>
      </c>
      <c r="F62" s="68"/>
      <c r="G62" s="20"/>
      <c r="H62" s="20"/>
      <c r="I62" s="20"/>
      <c r="J62" s="20"/>
      <c r="K62" s="20"/>
      <c r="L62" s="20"/>
      <c r="M62" s="20"/>
      <c r="N62" s="20"/>
      <c r="O62" s="20"/>
      <c r="P62" s="20"/>
      <c r="Q62" s="20"/>
      <c r="R62" s="20"/>
      <c r="S62" s="20"/>
    </row>
    <row r="63" spans="1:19" x14ac:dyDescent="0.35">
      <c r="A63" s="283" t="s">
        <v>150</v>
      </c>
      <c r="B63" s="20"/>
      <c r="C63" s="20"/>
      <c r="D63" s="20"/>
      <c r="E63" s="20"/>
      <c r="F63" s="20"/>
      <c r="G63" s="20"/>
      <c r="H63" s="20"/>
      <c r="I63" s="20"/>
      <c r="J63" s="20"/>
      <c r="K63" s="20"/>
      <c r="L63" s="20"/>
      <c r="M63" s="20"/>
      <c r="N63" s="20"/>
      <c r="O63" s="20"/>
      <c r="P63" s="20"/>
      <c r="Q63" s="20"/>
      <c r="R63" s="20"/>
      <c r="S63" s="20"/>
    </row>
    <row r="64" spans="1:19" x14ac:dyDescent="0.35">
      <c r="A64" s="20"/>
      <c r="B64" s="20"/>
      <c r="C64" s="20"/>
      <c r="D64" s="20"/>
      <c r="E64" s="20"/>
      <c r="F64" s="20"/>
      <c r="G64" s="20"/>
      <c r="H64" s="20"/>
      <c r="I64" s="20"/>
      <c r="J64" s="20"/>
      <c r="K64" s="20"/>
    </row>
    <row r="65" spans="1:11" x14ac:dyDescent="0.35">
      <c r="A65" s="20"/>
      <c r="B65" s="20"/>
      <c r="C65" s="20"/>
      <c r="D65" s="20"/>
      <c r="E65" s="20"/>
      <c r="F65" s="20"/>
      <c r="G65" s="20"/>
      <c r="H65" s="20"/>
      <c r="I65" s="20"/>
      <c r="J65" s="20"/>
      <c r="K65" s="20"/>
    </row>
    <row r="66" spans="1:11" x14ac:dyDescent="0.35">
      <c r="A66" s="20"/>
      <c r="B66" s="20"/>
      <c r="C66" s="20"/>
      <c r="D66" s="20"/>
      <c r="E66" s="20"/>
      <c r="F66" s="20"/>
      <c r="G66" s="20"/>
      <c r="H66" s="20"/>
      <c r="I66" s="20"/>
      <c r="J66" s="20"/>
      <c r="K66" s="20"/>
    </row>
  </sheetData>
  <sheetProtection sheet="1" formatCells="0" formatColumns="0" formatRows="0"/>
  <conditionalFormatting sqref="F7:F42">
    <cfRule type="expression" dxfId="111" priority="3">
      <formula>OR(D7="Min comp",D7="Comp")</formula>
    </cfRule>
  </conditionalFormatting>
  <conditionalFormatting sqref="J7:J42">
    <cfRule type="expression" dxfId="110" priority="5">
      <formula>$J7&lt;&gt;""</formula>
    </cfRule>
    <cfRule type="expression" dxfId="109" priority="9">
      <formula>LEFT($J7)="F"</formula>
    </cfRule>
    <cfRule type="expression" dxfId="108" priority="13">
      <formula>LEFT($J7)="I"</formula>
    </cfRule>
    <cfRule type="expression" dxfId="107" priority="14">
      <formula>LEFT($J7)="D"</formula>
    </cfRule>
  </conditionalFormatting>
  <conditionalFormatting sqref="J7:O42">
    <cfRule type="expression" dxfId="106" priority="6">
      <formula>AND($J7&lt;&gt;"",$J8="")</formula>
    </cfRule>
    <cfRule type="expression" dxfId="105" priority="7">
      <formula>$J7&lt;&gt;""</formula>
    </cfRule>
  </conditionalFormatting>
  <conditionalFormatting sqref="L7:O42">
    <cfRule type="expression" dxfId="104" priority="8">
      <formula>$J7&lt;&gt;""</formula>
    </cfRule>
  </conditionalFormatting>
  <conditionalFormatting sqref="O7:O42">
    <cfRule type="expression" dxfId="103" priority="4">
      <formula>$J7&lt;&gt;""</formula>
    </cfRule>
  </conditionalFormatting>
  <dataValidations count="4">
    <dataValidation type="list" allowBlank="1" showInputMessage="1" showErrorMessage="1" sqref="L7:L42" xr:uid="{0EBCD820-3313-4040-BDF1-5A6E94E827BD}">
      <formula1>"yes,no"</formula1>
    </dataValidation>
    <dataValidation type="list" allowBlank="1" showInputMessage="1" showErrorMessage="1" sqref="D7:D42" xr:uid="{5701437C-63D6-4587-B108-89B9025ADAC9}">
      <formula1>"Min comp, Comp, Hi comp"</formula1>
    </dataValidation>
    <dataValidation type="list" allowBlank="1" showInputMessage="1" showErrorMessage="1" sqref="F7:F42" xr:uid="{A952369D-241E-4F47-826F-7E0D14526609}">
      <formula1>"Y,N"</formula1>
    </dataValidation>
    <dataValidation type="list" allowBlank="1" showInputMessage="1" showErrorMessage="1" sqref="E7:E42" xr:uid="{BCFDD452-AAB2-45F3-B086-179016111B2B}">
      <formula1>"Y,N,?"</formula1>
    </dataValidation>
  </dataValidations>
  <pageMargins left="0.7" right="0.7" top="0.75" bottom="0.75" header="0.3" footer="0.3"/>
  <pageSetup scale="61" fitToHeight="0" orientation="landscape" horizontalDpi="4294967293" verticalDpi="0" r:id="rId1"/>
  <headerFooter>
    <oddHeader>&amp;LLearning Plan 2&amp;RPrinted on: &amp;D</oddHeader>
    <oddFooter>&amp;CPage &amp;P of &amp;N</oddFooter>
  </headerFooter>
  <legacyDrawing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2" id="{8E2C84E5-0FC1-48B5-8C73-1D15D03F5CDD}">
            <xm:f>OR('SA1'!$G$3="",$G$4="")</xm:f>
            <x14:dxf>
              <font>
                <color theme="0"/>
              </font>
              <fill>
                <patternFill>
                  <bgColor theme="0"/>
                </patternFill>
              </fill>
              <border>
                <left style="thin">
                  <color theme="0"/>
                </left>
                <right style="thin">
                  <color theme="0"/>
                </right>
                <top style="thin">
                  <color theme="0"/>
                </top>
                <bottom style="thin">
                  <color theme="0"/>
                </bottom>
                <vertical/>
                <horizontal/>
              </border>
            </x14:dxf>
          </x14:cfRule>
          <xm:sqref>A5:O42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21F7C-37D8-463A-8AB2-66B2E2A433A7}">
  <sheetPr>
    <tabColor rgb="FFFFFFCC"/>
    <pageSetUpPr fitToPage="1"/>
  </sheetPr>
  <dimension ref="A1:S66"/>
  <sheetViews>
    <sheetView showGridLines="0" zoomScaleNormal="100" workbookViewId="0">
      <pane ySplit="6" topLeftCell="A7" activePane="bottomLeft" state="frozen"/>
      <selection activeCell="G4" sqref="G4"/>
      <selection pane="bottomLeft"/>
    </sheetView>
  </sheetViews>
  <sheetFormatPr defaultRowHeight="14.5" x14ac:dyDescent="0.35"/>
  <cols>
    <col min="1" max="1" width="7.26953125" customWidth="1"/>
    <col min="2" max="2" width="12.54296875" style="22" customWidth="1"/>
    <col min="3" max="3" width="54.08984375" style="22" customWidth="1"/>
    <col min="4" max="4" width="10.1796875" customWidth="1"/>
    <col min="5" max="5" width="8.453125" customWidth="1"/>
    <col min="6" max="6" width="7.90625" customWidth="1"/>
    <col min="7" max="7" width="36.36328125" customWidth="1"/>
    <col min="8" max="8" width="0" hidden="1" customWidth="1"/>
    <col min="9" max="9" width="2.26953125" customWidth="1"/>
    <col min="10" max="10" width="7.26953125" customWidth="1"/>
    <col min="11" max="11" width="85.1796875" style="22" customWidth="1"/>
    <col min="12" max="12" width="14.453125" customWidth="1"/>
    <col min="13" max="13" width="44.453125" customWidth="1"/>
    <col min="14" max="14" width="16" style="44" customWidth="1"/>
    <col min="15" max="15" width="30.54296875" customWidth="1"/>
    <col min="16" max="16" width="1.453125" customWidth="1"/>
  </cols>
  <sheetData>
    <row r="1" spans="1:19" s="270" customFormat="1" ht="10.5" x14ac:dyDescent="0.25">
      <c r="A1" s="271" t="s">
        <v>113</v>
      </c>
      <c r="B1" s="272"/>
      <c r="C1" s="272"/>
      <c r="K1" s="272"/>
      <c r="N1" s="273"/>
    </row>
    <row r="2" spans="1:19" x14ac:dyDescent="0.35">
      <c r="A2" s="245" t="str">
        <f>IF('SA1'!$G$3="","You must enter a name (or role) in worksheet SA1, cell G3 to activate the workbook.",IF($G$4="","You must enter a Date of Self Assessment in G4 to activate this worksheet.",""))</f>
        <v/>
      </c>
    </row>
    <row r="3" spans="1:19" x14ac:dyDescent="0.35">
      <c r="G3" s="314"/>
    </row>
    <row r="4" spans="1:19" ht="20.5" thickBot="1" x14ac:dyDescent="0.4">
      <c r="A4" s="31" t="s">
        <v>124</v>
      </c>
      <c r="B4" s="32"/>
      <c r="C4" s="32"/>
      <c r="F4" s="33" t="s">
        <v>105</v>
      </c>
      <c r="G4" s="285">
        <v>45981</v>
      </c>
      <c r="J4" s="31" t="s">
        <v>118</v>
      </c>
      <c r="K4" s="32"/>
      <c r="M4" s="33" t="s">
        <v>97</v>
      </c>
      <c r="N4" s="285"/>
      <c r="O4" s="34"/>
      <c r="P4" s="35"/>
    </row>
    <row r="5" spans="1:19" x14ac:dyDescent="0.35">
      <c r="J5" s="36" t="str">
        <f>calc!D10</f>
        <v>These are the 'Improve? = Yes'  results from Round 3 (11/20/25)</v>
      </c>
      <c r="K5" s="37"/>
      <c r="L5" s="38"/>
      <c r="M5" s="38"/>
      <c r="N5" s="43"/>
      <c r="O5" s="39"/>
      <c r="P5" s="38"/>
    </row>
    <row r="6" spans="1:19" ht="43.5" x14ac:dyDescent="0.35">
      <c r="A6" s="45" t="s">
        <v>94</v>
      </c>
      <c r="B6" s="46" t="s">
        <v>0</v>
      </c>
      <c r="C6" s="47" t="s">
        <v>1</v>
      </c>
      <c r="D6" s="48" t="s">
        <v>84</v>
      </c>
      <c r="E6" s="45" t="s">
        <v>85</v>
      </c>
      <c r="F6" s="45" t="s">
        <v>86</v>
      </c>
      <c r="G6" s="49" t="s">
        <v>95</v>
      </c>
      <c r="H6" s="50" t="s">
        <v>90</v>
      </c>
      <c r="J6" s="60" t="s">
        <v>98</v>
      </c>
      <c r="K6" s="61" t="s">
        <v>1</v>
      </c>
      <c r="L6" s="62" t="s">
        <v>99</v>
      </c>
      <c r="M6" s="62" t="s">
        <v>100</v>
      </c>
      <c r="N6" s="291" t="s">
        <v>101</v>
      </c>
      <c r="O6" s="63" t="s">
        <v>95</v>
      </c>
      <c r="P6" s="38"/>
    </row>
    <row r="7" spans="1:19" ht="43.5" x14ac:dyDescent="0.35">
      <c r="A7" s="1">
        <v>1</v>
      </c>
      <c r="B7" s="24" t="s">
        <v>2</v>
      </c>
      <c r="C7" s="21" t="s">
        <v>3</v>
      </c>
      <c r="D7" s="57" t="s">
        <v>87</v>
      </c>
      <c r="E7" s="2" t="str">
        <f>EnterData_2[[#This Row],[Essential]]&amp;""</f>
        <v>Y</v>
      </c>
      <c r="F7" s="288"/>
      <c r="G7" s="52"/>
      <c r="H7" s="24" t="s">
        <v>91</v>
      </c>
      <c r="J7" s="38" t="str">
        <f>calc!D13&amp;""</f>
        <v>FD-5</v>
      </c>
      <c r="K7" s="37" t="str">
        <f>_xlfn.LET(_xlpm.x,INDEX(EnterData_8[Competencies],MATCH(J7,EnterData_8[Competency Num],0),1),IF(ISERROR(_xlpm.x),"",_xlpm.x))</f>
        <v>Is knowledgeable about various methods for collecting data, including quantitative and qualitative methods, when to use various methods, and the advantages and limitations of such methods with different groups of respondents.</v>
      </c>
      <c r="L7" s="294"/>
      <c r="M7" s="295"/>
      <c r="N7" s="296"/>
      <c r="O7" s="296"/>
      <c r="P7" s="20"/>
      <c r="Q7" s="20"/>
      <c r="R7" s="20"/>
      <c r="S7" s="20"/>
    </row>
    <row r="8" spans="1:19" ht="29" x14ac:dyDescent="0.35">
      <c r="A8" s="3">
        <v>2</v>
      </c>
      <c r="B8" s="25" t="s">
        <v>5</v>
      </c>
      <c r="C8" s="4" t="s">
        <v>6</v>
      </c>
      <c r="D8" s="58" t="s">
        <v>87</v>
      </c>
      <c r="E8" s="5" t="str">
        <f>EnterData_2[[#This Row],[Essential]]&amp;""</f>
        <v>Y</v>
      </c>
      <c r="F8" s="289"/>
      <c r="G8" s="53"/>
      <c r="H8" s="25" t="s">
        <v>91</v>
      </c>
      <c r="J8" s="38" t="str">
        <f>calc!D14&amp;""</f>
        <v>FD-6</v>
      </c>
      <c r="K8" s="37" t="str">
        <f>_xlfn.LET(_xlpm.x,INDEX(EnterData_8[Competencies],MATCH(J8,EnterData_8[Competency Num],0),1),IF(ISERROR(_xlpm.x),"",_xlpm.x))</f>
        <v>Is knowledgeable about data analysis and presentation methods, their strengths and limitations, and their use in developing data products to meet the needs of intended users.</v>
      </c>
      <c r="L8" s="294"/>
      <c r="M8" s="295"/>
      <c r="N8" s="296"/>
      <c r="O8" s="296"/>
      <c r="P8" s="20"/>
      <c r="Q8" s="20"/>
      <c r="R8" s="20"/>
      <c r="S8" s="20"/>
    </row>
    <row r="9" spans="1:19" ht="72.5" x14ac:dyDescent="0.35">
      <c r="A9" s="3">
        <v>3</v>
      </c>
      <c r="B9" s="25" t="s">
        <v>8</v>
      </c>
      <c r="C9" s="4" t="s">
        <v>9</v>
      </c>
      <c r="D9" s="58" t="s">
        <v>87</v>
      </c>
      <c r="E9" s="5" t="str">
        <f>EnterData_2[[#This Row],[Essential]]&amp;""</f>
        <v>Y</v>
      </c>
      <c r="F9" s="289"/>
      <c r="G9" s="53"/>
      <c r="H9" s="25" t="s">
        <v>91</v>
      </c>
      <c r="J9" s="38" t="str">
        <f>calc!D15&amp;""</f>
        <v>FD-7</v>
      </c>
      <c r="K9" s="37" t="str">
        <f>_xlfn.LET(_xlpm.x,INDEX(EnterData_8[Competencies],MATCH(J9,EnterData_8[Competency Num],0),1),IF(ISERROR(_xlpm.x),"",_xlpm.x))</f>
        <v>Is knowledgeable of policies and procedures required for the governance and management of Part C/Part B 619 data, including those related to the quality and integrity of the data, and the security of and access to those data.</v>
      </c>
      <c r="L9" s="294"/>
      <c r="M9" s="295"/>
      <c r="N9" s="296"/>
      <c r="O9" s="296"/>
      <c r="P9" s="20"/>
      <c r="Q9" s="20"/>
      <c r="R9" s="20"/>
      <c r="S9" s="20"/>
    </row>
    <row r="10" spans="1:19" ht="43.5" x14ac:dyDescent="0.35">
      <c r="A10" s="3">
        <v>4</v>
      </c>
      <c r="B10" s="25" t="s">
        <v>10</v>
      </c>
      <c r="C10" s="4" t="s">
        <v>11</v>
      </c>
      <c r="D10" s="58" t="s">
        <v>87</v>
      </c>
      <c r="E10" s="5" t="str">
        <f>EnterData_2[[#This Row],[Essential]]&amp;""</f>
        <v>Y</v>
      </c>
      <c r="F10" s="289"/>
      <c r="G10" s="53"/>
      <c r="H10" s="25" t="s">
        <v>91</v>
      </c>
      <c r="J10" s="38" t="str">
        <f>calc!D16&amp;""</f>
        <v>FD-9</v>
      </c>
      <c r="K10" s="37" t="str">
        <f>_xlfn.LET(_xlpm.x,INDEX(EnterData_8[Competencies],MATCH(J10,EnterData_8[Competency Num],0),1),IF(ISERROR(_xlpm.x),"",_xlpm.x))</f>
        <v>Demonstrates the ability to assess data knowledge and skills of state team members and stakeholders.</v>
      </c>
      <c r="L10" s="294"/>
      <c r="M10" s="295"/>
      <c r="N10" s="296"/>
      <c r="O10" s="296"/>
      <c r="P10" s="20"/>
      <c r="Q10" s="20"/>
      <c r="R10" s="20"/>
      <c r="S10" s="20"/>
    </row>
    <row r="11" spans="1:19" ht="58" x14ac:dyDescent="0.35">
      <c r="A11" s="3">
        <v>5</v>
      </c>
      <c r="B11" s="25" t="s">
        <v>12</v>
      </c>
      <c r="C11" s="4" t="s">
        <v>13</v>
      </c>
      <c r="D11" s="58" t="s">
        <v>88</v>
      </c>
      <c r="E11" s="5" t="str">
        <f>EnterData_2[[#This Row],[Essential]]&amp;""</f>
        <v>Y</v>
      </c>
      <c r="F11" s="289" t="s">
        <v>189</v>
      </c>
      <c r="G11" s="53"/>
      <c r="H11" s="25" t="s">
        <v>91</v>
      </c>
      <c r="J11" s="38" t="str">
        <f>calc!D17&amp;""</f>
        <v>IN-11</v>
      </c>
      <c r="K11" s="37" t="str">
        <f>_xlfn.LET(_xlpm.x,INDEX(EnterData_8[Competencies],MATCH(J11,EnterData_8[Competency Num],0),1),IF(ISERROR(_xlpm.x),"",_xlpm.x))</f>
        <v>Demonstrates the ability to lead a process for the development of a new data system or major enhancement.</v>
      </c>
      <c r="L11" s="294"/>
      <c r="M11" s="295"/>
      <c r="N11" s="296"/>
      <c r="O11" s="296"/>
      <c r="P11" s="20"/>
      <c r="Q11" s="20"/>
      <c r="R11" s="20"/>
      <c r="S11" s="20"/>
    </row>
    <row r="12" spans="1:19" ht="43.5" x14ac:dyDescent="0.35">
      <c r="A12" s="3">
        <v>6</v>
      </c>
      <c r="B12" s="25" t="s">
        <v>15</v>
      </c>
      <c r="C12" s="4" t="s">
        <v>16</v>
      </c>
      <c r="D12" s="58" t="s">
        <v>88</v>
      </c>
      <c r="E12" s="5" t="str">
        <f>EnterData_2[[#This Row],[Essential]]&amp;""</f>
        <v>Y</v>
      </c>
      <c r="F12" s="289" t="s">
        <v>189</v>
      </c>
      <c r="G12" s="53"/>
      <c r="H12" s="25" t="s">
        <v>91</v>
      </c>
      <c r="J12" s="38" t="str">
        <f>calc!D18&amp;""</f>
        <v>IN-12</v>
      </c>
      <c r="K12" s="37" t="str">
        <f>_xlfn.LET(_xlpm.x,INDEX(EnterData_8[Competencies],MATCH(J12,EnterData_8[Competency Num],0),1),IF(ISERROR(_xlpm.x),"",_xlpm.x))</f>
        <v>Demonstrates ability to elicit and process stakeholder input about state data system(s)/applications and communicate that input to the technical team.</v>
      </c>
      <c r="L12" s="294"/>
      <c r="M12" s="295"/>
      <c r="N12" s="296"/>
      <c r="O12" s="296"/>
      <c r="P12" s="20"/>
      <c r="Q12" s="20"/>
      <c r="R12" s="20"/>
      <c r="S12" s="20"/>
    </row>
    <row r="13" spans="1:19" ht="58" x14ac:dyDescent="0.35">
      <c r="A13" s="3">
        <v>7</v>
      </c>
      <c r="B13" s="25" t="s">
        <v>17</v>
      </c>
      <c r="C13" s="4" t="s">
        <v>18</v>
      </c>
      <c r="D13" s="58" t="s">
        <v>88</v>
      </c>
      <c r="E13" s="5" t="str">
        <f>EnterData_2[[#This Row],[Essential]]&amp;""</f>
        <v>Y</v>
      </c>
      <c r="F13" s="289" t="s">
        <v>189</v>
      </c>
      <c r="G13" s="53"/>
      <c r="H13" s="25" t="s">
        <v>91</v>
      </c>
      <c r="J13" s="38" t="str">
        <f>calc!D19&amp;""</f>
        <v>DC-5</v>
      </c>
      <c r="K13" s="37" t="str">
        <f>_xlfn.LET(_xlpm.x,INDEX(EnterData_8[Competencies],MATCH(J13,EnterData_8[Competency Num],0),1),IF(ISERROR(_xlpm.x),"",_xlpm.x))</f>
        <v>Demonstrates ability to implement an approach to data-based decision-making (e.g., Plan-Do-Study-Act).</v>
      </c>
      <c r="L13" s="294"/>
      <c r="M13" s="295"/>
      <c r="N13" s="296"/>
      <c r="O13" s="296"/>
      <c r="P13" s="20"/>
      <c r="Q13" s="20"/>
      <c r="R13" s="20"/>
      <c r="S13" s="20"/>
    </row>
    <row r="14" spans="1:19" ht="58" x14ac:dyDescent="0.35">
      <c r="A14" s="3">
        <v>8</v>
      </c>
      <c r="B14" s="25" t="s">
        <v>19</v>
      </c>
      <c r="C14" s="4" t="s">
        <v>20</v>
      </c>
      <c r="D14" s="58" t="s">
        <v>88</v>
      </c>
      <c r="E14" s="5" t="str">
        <f>EnterData_2[[#This Row],[Essential]]&amp;""</f>
        <v>N</v>
      </c>
      <c r="F14" s="289" t="s">
        <v>188</v>
      </c>
      <c r="G14" s="53"/>
      <c r="H14" s="25" t="s">
        <v>91</v>
      </c>
      <c r="J14" s="38" t="str">
        <f>calc!D20&amp;""</f>
        <v>DC-6</v>
      </c>
      <c r="K14" s="37" t="str">
        <f>_xlfn.LET(_xlpm.x,INDEX(EnterData_8[Competencies],MATCH(J14,EnterData_8[Competency Num],0),1),IF(ISERROR(_xlpm.x),"",_xlpm.x))</f>
        <v>Demonstrates ability to lead team members and stakeholders in discussions about the interpretation of program data (e.g., 616, 618, other) and development of action steps in response to what was learned from the analysis.</v>
      </c>
      <c r="L14" s="294"/>
      <c r="M14" s="295"/>
      <c r="N14" s="296"/>
      <c r="O14" s="296"/>
      <c r="P14" s="20"/>
      <c r="Q14" s="20"/>
      <c r="R14" s="20"/>
      <c r="S14" s="20"/>
    </row>
    <row r="15" spans="1:19" ht="29" x14ac:dyDescent="0.35">
      <c r="A15" s="3">
        <v>9</v>
      </c>
      <c r="B15" s="25" t="s">
        <v>21</v>
      </c>
      <c r="C15" s="4" t="s">
        <v>22</v>
      </c>
      <c r="D15" s="58" t="s">
        <v>88</v>
      </c>
      <c r="E15" s="5" t="str">
        <f>EnterData_2[[#This Row],[Essential]]&amp;""</f>
        <v>Y</v>
      </c>
      <c r="F15" s="289" t="s">
        <v>189</v>
      </c>
      <c r="G15" s="53"/>
      <c r="H15" s="25" t="s">
        <v>91</v>
      </c>
      <c r="J15" s="38" t="str">
        <f>calc!D21&amp;""</f>
        <v>DC-7</v>
      </c>
      <c r="K15" s="37" t="str">
        <f>_xlfn.LET(_xlpm.x,INDEX(EnterData_8[Competencies],MATCH(J15,EnterData_8[Competency Num],0),1),IF(ISERROR(_xlpm.x),"",_xlpm.x))</f>
        <v>Demonstrates the ability to make effective and timely decisions based on available data even when those data are limited and infer the implications of those decisions.</v>
      </c>
      <c r="L15" s="294"/>
      <c r="M15" s="295"/>
      <c r="N15" s="296"/>
      <c r="O15" s="296"/>
      <c r="P15" s="20"/>
      <c r="Q15" s="20"/>
      <c r="R15" s="20"/>
      <c r="S15" s="20"/>
    </row>
    <row r="16" spans="1:19" ht="58" x14ac:dyDescent="0.35">
      <c r="A16" s="3">
        <v>10</v>
      </c>
      <c r="B16" s="319" t="s">
        <v>23</v>
      </c>
      <c r="C16" s="320" t="s">
        <v>24</v>
      </c>
      <c r="D16" s="299" t="s">
        <v>87</v>
      </c>
      <c r="E16" s="300" t="str">
        <f>EnterData_2[[#This Row],[Essential]]&amp;""</f>
        <v>Y</v>
      </c>
      <c r="F16" s="301"/>
      <c r="G16" s="302"/>
      <c r="H16" s="25" t="s">
        <v>91</v>
      </c>
      <c r="J16" s="38" t="str">
        <f>calc!D22&amp;""</f>
        <v>DC-10</v>
      </c>
      <c r="K16" s="37" t="str">
        <f>_xlfn.LET(_xlpm.x,INDEX(EnterData_8[Competencies],MATCH(J16,EnterData_8[Competency Num],0),1),IF(ISERROR(_xlpm.x),"",_xlpm.x))</f>
        <v>Demonstrates the ability to use workforce data to inform the development and maintenance of a comprehensive system of personnel development.</v>
      </c>
      <c r="L16" s="294"/>
      <c r="M16" s="295"/>
      <c r="N16" s="296"/>
      <c r="O16" s="296"/>
      <c r="P16" s="20"/>
      <c r="Q16" s="20"/>
      <c r="R16" s="20"/>
      <c r="S16" s="20"/>
    </row>
    <row r="17" spans="1:19" ht="58" x14ac:dyDescent="0.35">
      <c r="A17" s="6">
        <v>11</v>
      </c>
      <c r="B17" s="316" t="s">
        <v>25</v>
      </c>
      <c r="C17" s="317" t="s">
        <v>26</v>
      </c>
      <c r="D17" s="57" t="s">
        <v>87</v>
      </c>
      <c r="E17" s="2" t="str">
        <f>EnterData_2[[#This Row],[Essential]]&amp;""</f>
        <v>Y</v>
      </c>
      <c r="F17" s="288"/>
      <c r="G17" s="318"/>
      <c r="H17" s="26" t="s">
        <v>92</v>
      </c>
      <c r="J17" s="38" t="str">
        <f>calc!D23&amp;""</f>
        <v>DC-12</v>
      </c>
      <c r="K17" s="37" t="str">
        <f>_xlfn.LET(_xlpm.x,INDEX(EnterData_8[Competencies],MATCH(J17,EnterData_8[Competency Num],0),1),IF(ISERROR(_xlpm.x),"",_xlpm.x))</f>
        <v>Demonstrates the ability to support local programs and districts to build a culture of data use.</v>
      </c>
      <c r="L17" s="294"/>
      <c r="M17" s="295"/>
      <c r="N17" s="296"/>
      <c r="O17" s="296"/>
      <c r="P17" s="20"/>
      <c r="Q17" s="20"/>
      <c r="R17" s="20"/>
      <c r="S17" s="20"/>
    </row>
    <row r="18" spans="1:19" ht="29" x14ac:dyDescent="0.35">
      <c r="A18" s="6">
        <v>12</v>
      </c>
      <c r="B18" s="26" t="s">
        <v>27</v>
      </c>
      <c r="C18" s="7" t="s">
        <v>28</v>
      </c>
      <c r="D18" s="58" t="s">
        <v>87</v>
      </c>
      <c r="E18" s="5" t="str">
        <f>EnterData_2[[#This Row],[Essential]]&amp;""</f>
        <v>Y</v>
      </c>
      <c r="F18" s="289"/>
      <c r="G18" s="53"/>
      <c r="H18" s="26" t="s">
        <v>92</v>
      </c>
      <c r="J18" s="38" t="str">
        <f>calc!D24&amp;""</f>
        <v/>
      </c>
      <c r="K18" s="37" t="str">
        <f>_xlfn.LET(_xlpm.x,INDEX(EnterData_8[Competencies],MATCH(J18,EnterData_8[Competency Num],0),1),IF(ISERROR(_xlpm.x),"",_xlpm.x))</f>
        <v/>
      </c>
      <c r="L18" s="294"/>
      <c r="M18" s="295"/>
      <c r="N18" s="296"/>
      <c r="O18" s="296"/>
      <c r="P18" s="20"/>
      <c r="Q18" s="20"/>
      <c r="R18" s="20"/>
      <c r="S18" s="20"/>
    </row>
    <row r="19" spans="1:19" ht="43.5" x14ac:dyDescent="0.35">
      <c r="A19" s="6">
        <v>13</v>
      </c>
      <c r="B19" s="26" t="s">
        <v>29</v>
      </c>
      <c r="C19" s="7" t="s">
        <v>30</v>
      </c>
      <c r="D19" s="58" t="s">
        <v>87</v>
      </c>
      <c r="E19" s="5" t="str">
        <f>EnterData_2[[#This Row],[Essential]]&amp;""</f>
        <v>Y</v>
      </c>
      <c r="F19" s="289"/>
      <c r="G19" s="53"/>
      <c r="H19" s="26" t="s">
        <v>92</v>
      </c>
      <c r="J19" s="38" t="str">
        <f>calc!D25&amp;""</f>
        <v/>
      </c>
      <c r="K19" s="37" t="str">
        <f>_xlfn.LET(_xlpm.x,INDEX(EnterData_8[Competencies],MATCH(J19,EnterData_8[Competency Num],0),1),IF(ISERROR(_xlpm.x),"",_xlpm.x))</f>
        <v/>
      </c>
      <c r="L19" s="294"/>
      <c r="M19" s="295"/>
      <c r="N19" s="296"/>
      <c r="O19" s="296"/>
      <c r="P19" s="20"/>
      <c r="Q19" s="20"/>
      <c r="R19" s="20"/>
      <c r="S19" s="20"/>
    </row>
    <row r="20" spans="1:19" ht="43.5" x14ac:dyDescent="0.35">
      <c r="A20" s="6">
        <v>14</v>
      </c>
      <c r="B20" s="26" t="s">
        <v>31</v>
      </c>
      <c r="C20" s="7" t="s">
        <v>32</v>
      </c>
      <c r="D20" s="58" t="s">
        <v>88</v>
      </c>
      <c r="E20" s="5" t="str">
        <f>EnterData_2[[#This Row],[Essential]]&amp;""</f>
        <v>N</v>
      </c>
      <c r="F20" s="289" t="s">
        <v>188</v>
      </c>
      <c r="G20" s="53"/>
      <c r="H20" s="26" t="s">
        <v>92</v>
      </c>
      <c r="J20" s="38" t="str">
        <f>calc!D26&amp;""</f>
        <v/>
      </c>
      <c r="K20" s="37" t="str">
        <f>_xlfn.LET(_xlpm.x,INDEX(EnterData_8[Competencies],MATCH(J20,EnterData_8[Competency Num],0),1),IF(ISERROR(_xlpm.x),"",_xlpm.x))</f>
        <v/>
      </c>
      <c r="L20" s="294"/>
      <c r="M20" s="295"/>
      <c r="N20" s="296"/>
      <c r="O20" s="296"/>
      <c r="P20" s="20"/>
      <c r="Q20" s="20"/>
      <c r="R20" s="20"/>
      <c r="S20" s="20"/>
    </row>
    <row r="21" spans="1:19" ht="58" x14ac:dyDescent="0.35">
      <c r="A21" s="6">
        <v>15</v>
      </c>
      <c r="B21" s="26" t="s">
        <v>33</v>
      </c>
      <c r="C21" s="7" t="s">
        <v>34</v>
      </c>
      <c r="D21" s="58" t="s">
        <v>87</v>
      </c>
      <c r="E21" s="5" t="str">
        <f>EnterData_2[[#This Row],[Essential]]&amp;""</f>
        <v>Y</v>
      </c>
      <c r="F21" s="289"/>
      <c r="G21" s="53"/>
      <c r="H21" s="26" t="s">
        <v>92</v>
      </c>
      <c r="J21" s="38" t="str">
        <f>calc!D27&amp;""</f>
        <v/>
      </c>
      <c r="K21" s="37" t="str">
        <f>_xlfn.LET(_xlpm.x,INDEX(EnterData_8[Competencies],MATCH(J21,EnterData_8[Competency Num],0),1),IF(ISERROR(_xlpm.x),"",_xlpm.x))</f>
        <v/>
      </c>
      <c r="L21" s="294"/>
      <c r="M21" s="295"/>
      <c r="N21" s="296"/>
      <c r="O21" s="296"/>
      <c r="P21" s="20"/>
      <c r="Q21" s="20"/>
      <c r="R21" s="20"/>
      <c r="S21" s="20"/>
    </row>
    <row r="22" spans="1:19" ht="29" x14ac:dyDescent="0.35">
      <c r="A22" s="6">
        <v>16</v>
      </c>
      <c r="B22" s="26" t="s">
        <v>35</v>
      </c>
      <c r="C22" s="7" t="s">
        <v>36</v>
      </c>
      <c r="D22" s="58" t="s">
        <v>87</v>
      </c>
      <c r="E22" s="5" t="str">
        <f>EnterData_2[[#This Row],[Essential]]&amp;""</f>
        <v>Y</v>
      </c>
      <c r="F22" s="289"/>
      <c r="G22" s="53"/>
      <c r="H22" s="26" t="s">
        <v>92</v>
      </c>
      <c r="J22" s="38" t="str">
        <f>calc!D28&amp;""</f>
        <v/>
      </c>
      <c r="K22" s="37" t="str">
        <f>_xlfn.LET(_xlpm.x,INDEX(EnterData_8[Competencies],MATCH(J22,EnterData_8[Competency Num],0),1),IF(ISERROR(_xlpm.x),"",_xlpm.x))</f>
        <v/>
      </c>
      <c r="L22" s="294"/>
      <c r="M22" s="295"/>
      <c r="N22" s="296"/>
      <c r="O22" s="296"/>
      <c r="P22" s="20"/>
      <c r="Q22" s="20"/>
      <c r="R22" s="20"/>
      <c r="S22" s="20"/>
    </row>
    <row r="23" spans="1:19" ht="43.5" x14ac:dyDescent="0.35">
      <c r="A23" s="6">
        <v>17</v>
      </c>
      <c r="B23" s="26" t="s">
        <v>37</v>
      </c>
      <c r="C23" s="7" t="s">
        <v>38</v>
      </c>
      <c r="D23" s="58" t="s">
        <v>87</v>
      </c>
      <c r="E23" s="5" t="str">
        <f>EnterData_2[[#This Row],[Essential]]&amp;""</f>
        <v>Y</v>
      </c>
      <c r="F23" s="289"/>
      <c r="G23" s="53"/>
      <c r="H23" s="26" t="s">
        <v>92</v>
      </c>
      <c r="J23" s="38" t="str">
        <f>calc!D29&amp;""</f>
        <v/>
      </c>
      <c r="K23" s="37" t="str">
        <f>_xlfn.LET(_xlpm.x,INDEX(EnterData_8[Competencies],MATCH(J23,EnterData_8[Competency Num],0),1),IF(ISERROR(_xlpm.x),"",_xlpm.x))</f>
        <v/>
      </c>
      <c r="L23" s="294"/>
      <c r="M23" s="295"/>
      <c r="N23" s="296"/>
      <c r="O23" s="296"/>
      <c r="P23" s="20"/>
      <c r="Q23" s="20"/>
      <c r="R23" s="20"/>
      <c r="S23" s="20"/>
    </row>
    <row r="24" spans="1:19" ht="43.5" x14ac:dyDescent="0.35">
      <c r="A24" s="6">
        <v>18</v>
      </c>
      <c r="B24" s="26" t="s">
        <v>39</v>
      </c>
      <c r="C24" s="7" t="s">
        <v>40</v>
      </c>
      <c r="D24" s="58" t="s">
        <v>89</v>
      </c>
      <c r="E24" s="5" t="str">
        <f>EnterData_2[[#This Row],[Essential]]&amp;""</f>
        <v>N</v>
      </c>
      <c r="F24" s="289" t="s">
        <v>188</v>
      </c>
      <c r="G24" s="53"/>
      <c r="H24" s="26" t="s">
        <v>92</v>
      </c>
      <c r="J24" s="38" t="str">
        <f>calc!D30&amp;""</f>
        <v/>
      </c>
      <c r="K24" s="37" t="str">
        <f>_xlfn.LET(_xlpm.x,INDEX(EnterData_8[Competencies],MATCH(J24,EnterData_8[Competency Num],0),1),IF(ISERROR(_xlpm.x),"",_xlpm.x))</f>
        <v/>
      </c>
      <c r="L24" s="294"/>
      <c r="M24" s="295"/>
      <c r="N24" s="296"/>
      <c r="O24" s="296"/>
      <c r="P24" s="20"/>
      <c r="Q24" s="20"/>
      <c r="R24" s="20"/>
      <c r="S24" s="20"/>
    </row>
    <row r="25" spans="1:19" ht="43.5" x14ac:dyDescent="0.35">
      <c r="A25" s="6">
        <v>19</v>
      </c>
      <c r="B25" s="26" t="s">
        <v>41</v>
      </c>
      <c r="C25" s="7" t="s">
        <v>42</v>
      </c>
      <c r="D25" s="58" t="s">
        <v>87</v>
      </c>
      <c r="E25" s="5" t="str">
        <f>EnterData_2[[#This Row],[Essential]]&amp;""</f>
        <v>Y</v>
      </c>
      <c r="F25" s="289"/>
      <c r="G25" s="53"/>
      <c r="H25" s="26" t="s">
        <v>92</v>
      </c>
      <c r="J25" s="38" t="str">
        <f>calc!D31&amp;""</f>
        <v/>
      </c>
      <c r="K25" s="37" t="str">
        <f>_xlfn.LET(_xlpm.x,INDEX(EnterData_8[Competencies],MATCH(J25,EnterData_8[Competency Num],0),1),IF(ISERROR(_xlpm.x),"",_xlpm.x))</f>
        <v/>
      </c>
      <c r="L25" s="294"/>
      <c r="M25" s="295"/>
      <c r="N25" s="296"/>
      <c r="O25" s="296"/>
      <c r="P25" s="20"/>
      <c r="Q25" s="20"/>
      <c r="R25" s="20"/>
      <c r="S25" s="20"/>
    </row>
    <row r="26" spans="1:19" ht="29" x14ac:dyDescent="0.35">
      <c r="A26" s="6">
        <v>20</v>
      </c>
      <c r="B26" s="26" t="s">
        <v>43</v>
      </c>
      <c r="C26" s="7" t="s">
        <v>44</v>
      </c>
      <c r="D26" s="58" t="s">
        <v>87</v>
      </c>
      <c r="E26" s="5" t="str">
        <f>EnterData_2[[#This Row],[Essential]]&amp;""</f>
        <v>Y</v>
      </c>
      <c r="F26" s="289"/>
      <c r="G26" s="53"/>
      <c r="H26" s="26" t="s">
        <v>92</v>
      </c>
      <c r="J26" s="38" t="str">
        <f>calc!D32&amp;""</f>
        <v/>
      </c>
      <c r="K26" s="37" t="str">
        <f>_xlfn.LET(_xlpm.x,INDEX(EnterData_8[Competencies],MATCH(J26,EnterData_8[Competency Num],0),1),IF(ISERROR(_xlpm.x),"",_xlpm.x))</f>
        <v/>
      </c>
      <c r="L26" s="294"/>
      <c r="M26" s="295"/>
      <c r="N26" s="296"/>
      <c r="O26" s="296"/>
      <c r="P26" s="20"/>
      <c r="Q26" s="20"/>
      <c r="R26" s="20"/>
      <c r="S26" s="20"/>
    </row>
    <row r="27" spans="1:19" ht="29" x14ac:dyDescent="0.35">
      <c r="A27" s="6">
        <v>21</v>
      </c>
      <c r="B27" s="26" t="s">
        <v>45</v>
      </c>
      <c r="C27" s="7" t="s">
        <v>46</v>
      </c>
      <c r="D27" s="58" t="s">
        <v>88</v>
      </c>
      <c r="E27" s="5" t="str">
        <f>EnterData_2[[#This Row],[Essential]]&amp;""</f>
        <v>Y</v>
      </c>
      <c r="F27" s="289" t="s">
        <v>189</v>
      </c>
      <c r="G27" s="53"/>
      <c r="H27" s="26" t="s">
        <v>92</v>
      </c>
      <c r="J27" s="38" t="str">
        <f>calc!D33&amp;""</f>
        <v/>
      </c>
      <c r="K27" s="37" t="str">
        <f>_xlfn.LET(_xlpm.x,INDEX(EnterData_8[Competencies],MATCH(J27,EnterData_8[Competency Num],0),1),IF(ISERROR(_xlpm.x),"",_xlpm.x))</f>
        <v/>
      </c>
      <c r="L27" s="294"/>
      <c r="M27" s="295"/>
      <c r="N27" s="296"/>
      <c r="O27" s="296"/>
      <c r="P27" s="20"/>
      <c r="Q27" s="20"/>
      <c r="R27" s="20"/>
      <c r="S27" s="20"/>
    </row>
    <row r="28" spans="1:19" ht="43.5" x14ac:dyDescent="0.35">
      <c r="A28" s="6">
        <v>22</v>
      </c>
      <c r="B28" s="26" t="s">
        <v>47</v>
      </c>
      <c r="C28" s="7" t="s">
        <v>48</v>
      </c>
      <c r="D28" s="58" t="s">
        <v>88</v>
      </c>
      <c r="E28" s="5" t="str">
        <f>EnterData_2[[#This Row],[Essential]]&amp;""</f>
        <v>Y</v>
      </c>
      <c r="F28" s="289" t="s">
        <v>189</v>
      </c>
      <c r="G28" s="53"/>
      <c r="H28" s="26" t="s">
        <v>92</v>
      </c>
      <c r="J28" s="38" t="str">
        <f>calc!D34&amp;""</f>
        <v/>
      </c>
      <c r="K28" s="37" t="str">
        <f>_xlfn.LET(_xlpm.x,INDEX(EnterData_8[Competencies],MATCH(J28,EnterData_8[Competency Num],0),1),IF(ISERROR(_xlpm.x),"",_xlpm.x))</f>
        <v/>
      </c>
      <c r="L28" s="294"/>
      <c r="M28" s="295"/>
      <c r="N28" s="296"/>
      <c r="O28" s="296"/>
      <c r="P28" s="20"/>
      <c r="Q28" s="20"/>
      <c r="R28" s="20"/>
      <c r="S28" s="20"/>
    </row>
    <row r="29" spans="1:19" ht="43.5" x14ac:dyDescent="0.35">
      <c r="A29" s="6">
        <v>23</v>
      </c>
      <c r="B29" s="322" t="s">
        <v>49</v>
      </c>
      <c r="C29" s="323" t="s">
        <v>50</v>
      </c>
      <c r="D29" s="299" t="s">
        <v>87</v>
      </c>
      <c r="E29" s="300" t="str">
        <f>EnterData_2[[#This Row],[Essential]]&amp;""</f>
        <v>Y</v>
      </c>
      <c r="F29" s="301"/>
      <c r="G29" s="302"/>
      <c r="H29" s="26" t="s">
        <v>92</v>
      </c>
      <c r="J29" s="38" t="str">
        <f>calc!D35&amp;""</f>
        <v/>
      </c>
      <c r="K29" s="37" t="str">
        <f>_xlfn.LET(_xlpm.x,INDEX(EnterData_8[Competencies],MATCH(J29,EnterData_8[Competency Num],0),1),IF(ISERROR(_xlpm.x),"",_xlpm.x))</f>
        <v/>
      </c>
      <c r="L29" s="294"/>
      <c r="M29" s="295"/>
      <c r="N29" s="296"/>
      <c r="O29" s="296"/>
      <c r="P29" s="20"/>
      <c r="Q29" s="20"/>
      <c r="R29" s="20"/>
      <c r="S29" s="20"/>
    </row>
    <row r="30" spans="1:19" ht="29" x14ac:dyDescent="0.35">
      <c r="A30" s="8">
        <v>24</v>
      </c>
      <c r="B30" s="321" t="s">
        <v>51</v>
      </c>
      <c r="C30" s="21" t="s">
        <v>52</v>
      </c>
      <c r="D30" s="57" t="s">
        <v>88</v>
      </c>
      <c r="E30" s="2" t="str">
        <f>EnterData_2[[#This Row],[Essential]]&amp;""</f>
        <v>N</v>
      </c>
      <c r="F30" s="288" t="s">
        <v>188</v>
      </c>
      <c r="G30" s="318"/>
      <c r="H30" s="27" t="s">
        <v>93</v>
      </c>
      <c r="J30" s="38" t="str">
        <f>calc!D36&amp;""</f>
        <v/>
      </c>
      <c r="K30" s="37" t="str">
        <f>_xlfn.LET(_xlpm.x,INDEX(EnterData_8[Competencies],MATCH(J30,EnterData_8[Competency Num],0),1),IF(ISERROR(_xlpm.x),"",_xlpm.x))</f>
        <v/>
      </c>
      <c r="L30" s="294"/>
      <c r="M30" s="295"/>
      <c r="N30" s="296"/>
      <c r="O30" s="296"/>
      <c r="P30" s="20"/>
      <c r="Q30" s="20"/>
      <c r="R30" s="20"/>
      <c r="S30" s="20"/>
    </row>
    <row r="31" spans="1:19" ht="43.5" x14ac:dyDescent="0.35">
      <c r="A31" s="8">
        <v>25</v>
      </c>
      <c r="B31" s="27" t="s">
        <v>53</v>
      </c>
      <c r="C31" s="4" t="s">
        <v>54</v>
      </c>
      <c r="D31" s="58" t="s">
        <v>87</v>
      </c>
      <c r="E31" s="5" t="str">
        <f>EnterData_2[[#This Row],[Essential]]&amp;""</f>
        <v>Y</v>
      </c>
      <c r="F31" s="289"/>
      <c r="G31" s="53"/>
      <c r="H31" s="27" t="s">
        <v>93</v>
      </c>
      <c r="J31" s="38" t="str">
        <f>calc!D37&amp;""</f>
        <v/>
      </c>
      <c r="K31" s="37" t="str">
        <f>_xlfn.LET(_xlpm.x,INDEX(EnterData_8[Competencies],MATCH(J31,EnterData_8[Competency Num],0),1),IF(ISERROR(_xlpm.x),"",_xlpm.x))</f>
        <v/>
      </c>
      <c r="L31" s="294"/>
      <c r="M31" s="295"/>
      <c r="N31" s="296"/>
      <c r="O31" s="296"/>
      <c r="P31" s="20"/>
      <c r="Q31" s="20"/>
      <c r="R31" s="20"/>
      <c r="S31" s="20"/>
    </row>
    <row r="32" spans="1:19" ht="29" x14ac:dyDescent="0.35">
      <c r="A32" s="8">
        <v>26</v>
      </c>
      <c r="B32" s="27" t="s">
        <v>55</v>
      </c>
      <c r="C32" s="4" t="s">
        <v>56</v>
      </c>
      <c r="D32" s="58" t="s">
        <v>87</v>
      </c>
      <c r="E32" s="5" t="str">
        <f>EnterData_2[[#This Row],[Essential]]&amp;""</f>
        <v>Y</v>
      </c>
      <c r="F32" s="289"/>
      <c r="G32" s="53"/>
      <c r="H32" s="27" t="s">
        <v>93</v>
      </c>
      <c r="J32" s="38" t="str">
        <f>calc!D38&amp;""</f>
        <v/>
      </c>
      <c r="K32" s="37" t="str">
        <f>_xlfn.LET(_xlpm.x,INDEX(EnterData_8[Competencies],MATCH(J32,EnterData_8[Competency Num],0),1),IF(ISERROR(_xlpm.x),"",_xlpm.x))</f>
        <v/>
      </c>
      <c r="L32" s="294"/>
      <c r="M32" s="295"/>
      <c r="N32" s="296"/>
      <c r="O32" s="296"/>
      <c r="P32" s="20"/>
      <c r="Q32" s="20"/>
      <c r="R32" s="20"/>
      <c r="S32" s="20"/>
    </row>
    <row r="33" spans="1:19" ht="29" x14ac:dyDescent="0.35">
      <c r="A33" s="8">
        <v>27</v>
      </c>
      <c r="B33" s="27" t="s">
        <v>57</v>
      </c>
      <c r="C33" s="4" t="s">
        <v>58</v>
      </c>
      <c r="D33" s="58" t="s">
        <v>87</v>
      </c>
      <c r="E33" s="5" t="str">
        <f>EnterData_2[[#This Row],[Essential]]&amp;""</f>
        <v>Y</v>
      </c>
      <c r="F33" s="289"/>
      <c r="G33" s="53"/>
      <c r="H33" s="27" t="s">
        <v>93</v>
      </c>
      <c r="J33" s="38" t="str">
        <f>calc!D39&amp;""</f>
        <v/>
      </c>
      <c r="K33" s="37" t="str">
        <f>_xlfn.LET(_xlpm.x,INDEX(EnterData_8[Competencies],MATCH(J33,EnterData_8[Competency Num],0),1),IF(ISERROR(_xlpm.x),"",_xlpm.x))</f>
        <v/>
      </c>
      <c r="L33" s="294"/>
      <c r="M33" s="295"/>
      <c r="N33" s="296"/>
      <c r="O33" s="296"/>
      <c r="P33" s="20"/>
      <c r="Q33" s="20"/>
      <c r="R33" s="20"/>
      <c r="S33" s="20"/>
    </row>
    <row r="34" spans="1:19" ht="29" x14ac:dyDescent="0.35">
      <c r="A34" s="8">
        <v>28</v>
      </c>
      <c r="B34" s="27" t="s">
        <v>59</v>
      </c>
      <c r="C34" s="4" t="s">
        <v>60</v>
      </c>
      <c r="D34" s="58" t="s">
        <v>88</v>
      </c>
      <c r="E34" s="5" t="str">
        <f>EnterData_2[[#This Row],[Essential]]&amp;""</f>
        <v>Y</v>
      </c>
      <c r="F34" s="289" t="s">
        <v>189</v>
      </c>
      <c r="G34" s="53"/>
      <c r="H34" s="27" t="s">
        <v>93</v>
      </c>
      <c r="J34" s="38" t="str">
        <f>calc!D40&amp;""</f>
        <v/>
      </c>
      <c r="K34" s="37" t="str">
        <f>_xlfn.LET(_xlpm.x,INDEX(EnterData_8[Competencies],MATCH(J34,EnterData_8[Competency Num],0),1),IF(ISERROR(_xlpm.x),"",_xlpm.x))</f>
        <v/>
      </c>
      <c r="L34" s="294"/>
      <c r="M34" s="295"/>
      <c r="N34" s="296"/>
      <c r="O34" s="296"/>
      <c r="P34" s="20"/>
      <c r="Q34" s="20"/>
      <c r="R34" s="20"/>
      <c r="S34" s="20"/>
    </row>
    <row r="35" spans="1:19" ht="58" x14ac:dyDescent="0.35">
      <c r="A35" s="8">
        <v>29</v>
      </c>
      <c r="B35" s="27" t="s">
        <v>61</v>
      </c>
      <c r="C35" s="4" t="s">
        <v>62</v>
      </c>
      <c r="D35" s="58" t="s">
        <v>88</v>
      </c>
      <c r="E35" s="5" t="str">
        <f>EnterData_2[[#This Row],[Essential]]&amp;""</f>
        <v>Y</v>
      </c>
      <c r="F35" s="289" t="s">
        <v>189</v>
      </c>
      <c r="G35" s="53"/>
      <c r="H35" s="27" t="s">
        <v>93</v>
      </c>
      <c r="J35" s="38" t="str">
        <f>calc!D41&amp;""</f>
        <v/>
      </c>
      <c r="K35" s="37" t="str">
        <f>_xlfn.LET(_xlpm.x,INDEX(EnterData_8[Competencies],MATCH(J35,EnterData_8[Competency Num],0),1),IF(ISERROR(_xlpm.x),"",_xlpm.x))</f>
        <v/>
      </c>
      <c r="L35" s="294"/>
      <c r="M35" s="295"/>
      <c r="N35" s="296"/>
      <c r="O35" s="296"/>
      <c r="P35" s="20"/>
      <c r="Q35" s="20"/>
      <c r="R35" s="20"/>
      <c r="S35" s="20"/>
    </row>
    <row r="36" spans="1:19" ht="43.5" x14ac:dyDescent="0.35">
      <c r="A36" s="8">
        <v>30</v>
      </c>
      <c r="B36" s="27" t="s">
        <v>63</v>
      </c>
      <c r="C36" s="4" t="s">
        <v>64</v>
      </c>
      <c r="D36" s="58" t="s">
        <v>88</v>
      </c>
      <c r="E36" s="5" t="str">
        <f>EnterData_2[[#This Row],[Essential]]&amp;""</f>
        <v>Y</v>
      </c>
      <c r="F36" s="289" t="s">
        <v>189</v>
      </c>
      <c r="G36" s="53"/>
      <c r="H36" s="27" t="s">
        <v>93</v>
      </c>
      <c r="J36" s="38" t="str">
        <f>calc!D42&amp;""</f>
        <v/>
      </c>
      <c r="K36" s="37" t="str">
        <f>_xlfn.LET(_xlpm.x,INDEX(EnterData_8[Competencies],MATCH(J36,EnterData_8[Competency Num],0),1),IF(ISERROR(_xlpm.x),"",_xlpm.x))</f>
        <v/>
      </c>
      <c r="L36" s="294"/>
      <c r="M36" s="295"/>
      <c r="N36" s="296"/>
      <c r="O36" s="296"/>
      <c r="P36" s="20"/>
      <c r="Q36" s="20"/>
      <c r="R36" s="20"/>
      <c r="S36" s="20"/>
    </row>
    <row r="37" spans="1:19" ht="43.5" x14ac:dyDescent="0.35">
      <c r="A37" s="8">
        <v>31</v>
      </c>
      <c r="B37" s="27" t="s">
        <v>65</v>
      </c>
      <c r="C37" s="4" t="s">
        <v>66</v>
      </c>
      <c r="D37" s="58" t="s">
        <v>87</v>
      </c>
      <c r="E37" s="5" t="str">
        <f>EnterData_2[[#This Row],[Essential]]&amp;""</f>
        <v>Y</v>
      </c>
      <c r="F37" s="289"/>
      <c r="G37" s="53"/>
      <c r="H37" s="27" t="s">
        <v>93</v>
      </c>
      <c r="J37" s="38" t="str">
        <f>calc!D43&amp;""</f>
        <v/>
      </c>
      <c r="K37" s="37" t="str">
        <f>_xlfn.LET(_xlpm.x,INDEX(EnterData_8[Competencies],MATCH(J37,EnterData_8[Competency Num],0),1),IF(ISERROR(_xlpm.x),"",_xlpm.x))</f>
        <v/>
      </c>
      <c r="L37" s="294"/>
      <c r="M37" s="295"/>
      <c r="N37" s="296"/>
      <c r="O37" s="296"/>
      <c r="P37" s="20"/>
      <c r="Q37" s="20"/>
      <c r="R37" s="20"/>
      <c r="S37" s="20"/>
    </row>
    <row r="38" spans="1:19" ht="58" x14ac:dyDescent="0.35">
      <c r="A38" s="8">
        <v>32</v>
      </c>
      <c r="B38" s="27" t="s">
        <v>67</v>
      </c>
      <c r="C38" s="4" t="s">
        <v>68</v>
      </c>
      <c r="D38" s="58" t="s">
        <v>88</v>
      </c>
      <c r="E38" s="5" t="str">
        <f>EnterData_2[[#This Row],[Essential]]&amp;""</f>
        <v>Y</v>
      </c>
      <c r="F38" s="289" t="s">
        <v>188</v>
      </c>
      <c r="G38" s="53"/>
      <c r="H38" s="27" t="s">
        <v>93</v>
      </c>
      <c r="J38" s="38" t="str">
        <f>calc!D44&amp;""</f>
        <v/>
      </c>
      <c r="K38" s="37" t="str">
        <f>_xlfn.LET(_xlpm.x,INDEX(EnterData_8[Competencies],MATCH(J38,EnterData_8[Competency Num],0),1),IF(ISERROR(_xlpm.x),"",_xlpm.x))</f>
        <v/>
      </c>
      <c r="L38" s="294"/>
      <c r="M38" s="295"/>
      <c r="N38" s="296"/>
      <c r="O38" s="296"/>
      <c r="P38" s="20"/>
      <c r="Q38" s="20"/>
      <c r="R38" s="20"/>
      <c r="S38" s="20"/>
    </row>
    <row r="39" spans="1:19" ht="43.5" x14ac:dyDescent="0.35">
      <c r="A39" s="8">
        <v>33</v>
      </c>
      <c r="B39" s="27" t="s">
        <v>69</v>
      </c>
      <c r="C39" s="4" t="s">
        <v>70</v>
      </c>
      <c r="D39" s="58" t="s">
        <v>88</v>
      </c>
      <c r="E39" s="5" t="str">
        <f>EnterData_2[[#This Row],[Essential]]&amp;""</f>
        <v>Y</v>
      </c>
      <c r="F39" s="289" t="s">
        <v>189</v>
      </c>
      <c r="G39" s="53"/>
      <c r="H39" s="27" t="s">
        <v>93</v>
      </c>
      <c r="J39" s="38" t="str">
        <f>calc!D45&amp;""</f>
        <v/>
      </c>
      <c r="K39" s="37" t="str">
        <f>_xlfn.LET(_xlpm.x,INDEX(EnterData_8[Competencies],MATCH(J39,EnterData_8[Competency Num],0),1),IF(ISERROR(_xlpm.x),"",_xlpm.x))</f>
        <v/>
      </c>
      <c r="L39" s="294"/>
      <c r="M39" s="295"/>
      <c r="N39" s="296"/>
      <c r="O39" s="296"/>
      <c r="P39" s="20"/>
      <c r="Q39" s="20"/>
      <c r="R39" s="20"/>
      <c r="S39" s="20"/>
    </row>
    <row r="40" spans="1:19" ht="43.5" x14ac:dyDescent="0.35">
      <c r="A40" s="8">
        <v>34</v>
      </c>
      <c r="B40" s="27" t="s">
        <v>71</v>
      </c>
      <c r="C40" s="4" t="s">
        <v>72</v>
      </c>
      <c r="D40" s="58" t="s">
        <v>88</v>
      </c>
      <c r="E40" s="5" t="str">
        <f>EnterData_2[[#This Row],[Essential]]&amp;""</f>
        <v>Y</v>
      </c>
      <c r="F40" s="289" t="s">
        <v>188</v>
      </c>
      <c r="G40" s="53"/>
      <c r="H40" s="27" t="s">
        <v>93</v>
      </c>
      <c r="J40" s="38" t="str">
        <f>calc!D46&amp;""</f>
        <v/>
      </c>
      <c r="K40" s="37" t="str">
        <f>_xlfn.LET(_xlpm.x,INDEX(EnterData_8[Competencies],MATCH(J40,EnterData_8[Competency Num],0),1),IF(ISERROR(_xlpm.x),"",_xlpm.x))</f>
        <v/>
      </c>
      <c r="L40" s="294"/>
      <c r="M40" s="295"/>
      <c r="N40" s="296"/>
      <c r="O40" s="296"/>
      <c r="P40" s="20"/>
      <c r="Q40" s="20"/>
      <c r="R40" s="20"/>
      <c r="S40" s="20"/>
    </row>
    <row r="41" spans="1:19" ht="29" x14ac:dyDescent="0.35">
      <c r="A41" s="8">
        <v>35</v>
      </c>
      <c r="B41" s="27" t="s">
        <v>73</v>
      </c>
      <c r="C41" s="4" t="s">
        <v>74</v>
      </c>
      <c r="D41" s="58" t="s">
        <v>88</v>
      </c>
      <c r="E41" s="5" t="str">
        <f>EnterData_2[[#This Row],[Essential]]&amp;""</f>
        <v>Y</v>
      </c>
      <c r="F41" s="289" t="s">
        <v>189</v>
      </c>
      <c r="G41" s="53"/>
      <c r="H41" s="27" t="s">
        <v>93</v>
      </c>
      <c r="J41" s="38" t="str">
        <f>calc!D47&amp;""</f>
        <v/>
      </c>
      <c r="K41" s="37" t="str">
        <f>_xlfn.LET(_xlpm.x,INDEX(EnterData_8[Competencies],MATCH(J41,EnterData_8[Competency Num],0),1),IF(ISERROR(_xlpm.x),"",_xlpm.x))</f>
        <v/>
      </c>
      <c r="L41" s="294"/>
      <c r="M41" s="295"/>
      <c r="N41" s="296"/>
      <c r="O41" s="296"/>
      <c r="P41" s="20"/>
      <c r="Q41" s="20"/>
      <c r="R41" s="20"/>
      <c r="S41" s="20"/>
    </row>
    <row r="42" spans="1:19" ht="43.5" x14ac:dyDescent="0.35">
      <c r="A42" s="9">
        <v>36</v>
      </c>
      <c r="B42" s="29" t="s">
        <v>75</v>
      </c>
      <c r="C42" s="42" t="s">
        <v>76</v>
      </c>
      <c r="D42" s="59" t="s">
        <v>89</v>
      </c>
      <c r="E42" s="30" t="str">
        <f>EnterData_2[[#This Row],[Essential]]&amp;""</f>
        <v>N</v>
      </c>
      <c r="F42" s="290" t="s">
        <v>188</v>
      </c>
      <c r="G42" s="54"/>
      <c r="H42" s="29" t="s">
        <v>93</v>
      </c>
      <c r="J42" s="38" t="str">
        <f>calc!D48&amp;""</f>
        <v/>
      </c>
      <c r="K42" s="37" t="str">
        <f>_xlfn.LET(_xlpm.x,INDEX(EnterData_8[Competencies],MATCH(J42,EnterData_8[Competency Num],0),1),IF(ISERROR(_xlpm.x),"",_xlpm.x))</f>
        <v/>
      </c>
      <c r="L42" s="294"/>
      <c r="M42" s="295"/>
      <c r="N42" s="296"/>
      <c r="O42" s="296"/>
      <c r="P42" s="20"/>
      <c r="Q42" s="20"/>
      <c r="R42" s="20"/>
      <c r="S42" s="20"/>
    </row>
    <row r="43" spans="1:19" x14ac:dyDescent="0.35">
      <c r="A43" s="20"/>
      <c r="B43" s="55"/>
      <c r="C43" s="51"/>
      <c r="D43" s="10"/>
      <c r="E43" s="10"/>
      <c r="F43" s="20"/>
      <c r="G43" s="20"/>
      <c r="H43" s="20"/>
      <c r="I43" s="20"/>
      <c r="J43" s="20"/>
      <c r="K43" s="20"/>
      <c r="L43" s="20"/>
      <c r="M43" s="20"/>
      <c r="N43" s="20"/>
      <c r="O43" s="20"/>
      <c r="P43" s="20"/>
      <c r="Q43" s="20"/>
      <c r="R43" s="20"/>
      <c r="S43" s="20"/>
    </row>
    <row r="44" spans="1:19" x14ac:dyDescent="0.35">
      <c r="A44" s="20"/>
      <c r="B44" s="56" t="s">
        <v>77</v>
      </c>
      <c r="C44" s="74" t="s">
        <v>78</v>
      </c>
      <c r="D44" s="11" t="s">
        <v>79</v>
      </c>
      <c r="E44" s="65" t="s">
        <v>80</v>
      </c>
      <c r="F44" s="65"/>
      <c r="G44" s="20"/>
      <c r="H44" s="20"/>
      <c r="I44" s="20"/>
      <c r="J44" s="20"/>
      <c r="K44" s="20"/>
      <c r="L44" s="20"/>
      <c r="M44" s="20"/>
      <c r="N44" s="20"/>
      <c r="O44" s="20"/>
      <c r="P44" s="20"/>
      <c r="Q44" s="20"/>
      <c r="R44" s="20"/>
      <c r="S44" s="20"/>
    </row>
    <row r="45" spans="1:19" x14ac:dyDescent="0.35">
      <c r="A45" s="20"/>
      <c r="B45" s="23" t="s">
        <v>89</v>
      </c>
      <c r="C45" s="75" t="s">
        <v>191</v>
      </c>
      <c r="D45" s="12" cm="1">
        <f t="array" ref="D45:D47">_xlfn.ANCHORARRAY(D50)+_xlfn.ANCHORARRAY(D55)+_xlfn.ANCHORARRAY(D60)</f>
        <v>2</v>
      </c>
      <c r="E45" s="66" cm="1">
        <f t="array" ref="E45:E47">_xlfn.ANCHORARRAY(E50)+_xlfn.ANCHORARRAY(E55)+_xlfn.ANCHORARRAY(E60)</f>
        <v>0</v>
      </c>
      <c r="F45" s="66"/>
      <c r="G45" s="20"/>
      <c r="H45" s="20"/>
      <c r="I45" s="20"/>
      <c r="J45" s="20"/>
      <c r="K45" s="20"/>
      <c r="L45" s="20"/>
      <c r="M45" s="20"/>
      <c r="N45" s="20"/>
      <c r="O45" s="20"/>
      <c r="P45" s="20"/>
      <c r="Q45" s="20"/>
      <c r="R45" s="20"/>
      <c r="S45" s="20"/>
    </row>
    <row r="46" spans="1:19" x14ac:dyDescent="0.35">
      <c r="A46" s="20"/>
      <c r="B46" s="23" t="s">
        <v>88</v>
      </c>
      <c r="C46" s="76" t="s">
        <v>193</v>
      </c>
      <c r="D46" s="13">
        <v>16</v>
      </c>
      <c r="E46" s="67">
        <v>13</v>
      </c>
      <c r="F46" s="67"/>
      <c r="G46" s="20"/>
      <c r="H46" s="20"/>
      <c r="I46" s="20"/>
      <c r="J46" s="20"/>
      <c r="K46" s="20"/>
      <c r="L46" s="20"/>
      <c r="M46" s="20"/>
      <c r="N46" s="20"/>
      <c r="O46" s="20"/>
      <c r="P46" s="20"/>
      <c r="Q46" s="20"/>
      <c r="R46" s="20"/>
      <c r="S46" s="20"/>
    </row>
    <row r="47" spans="1:19" x14ac:dyDescent="0.35">
      <c r="A47" s="20"/>
      <c r="B47" s="23" t="s">
        <v>87</v>
      </c>
      <c r="C47" s="77" t="s">
        <v>195</v>
      </c>
      <c r="D47" s="14">
        <v>18</v>
      </c>
      <c r="E47" s="68">
        <v>18</v>
      </c>
      <c r="F47" s="68"/>
      <c r="G47" s="20"/>
      <c r="H47" s="20"/>
      <c r="I47" s="20"/>
      <c r="J47" s="20"/>
      <c r="K47" s="20"/>
      <c r="L47" s="20"/>
      <c r="M47" s="20"/>
      <c r="N47" s="20"/>
      <c r="O47" s="20"/>
      <c r="P47" s="20"/>
      <c r="Q47" s="20"/>
      <c r="R47" s="20"/>
      <c r="S47" s="20"/>
    </row>
    <row r="48" spans="1:19" x14ac:dyDescent="0.35">
      <c r="A48" s="20"/>
      <c r="B48" s="15"/>
      <c r="C48" s="78"/>
      <c r="D48" s="15"/>
      <c r="E48" s="69"/>
      <c r="F48" s="69"/>
      <c r="G48" s="20"/>
      <c r="H48" s="20"/>
      <c r="I48" s="20"/>
      <c r="J48" s="20"/>
      <c r="K48" s="20"/>
      <c r="L48" s="20"/>
      <c r="M48" s="20"/>
      <c r="N48" s="20"/>
      <c r="O48" s="20"/>
      <c r="P48" s="20"/>
      <c r="Q48" s="20"/>
      <c r="R48" s="20"/>
      <c r="S48" s="20"/>
    </row>
    <row r="49" spans="1:19" x14ac:dyDescent="0.35">
      <c r="A49" s="20"/>
      <c r="B49" s="15"/>
      <c r="C49" s="79" t="s">
        <v>81</v>
      </c>
      <c r="D49" s="16" t="s">
        <v>79</v>
      </c>
      <c r="E49" s="70" t="s">
        <v>80</v>
      </c>
      <c r="F49" s="70"/>
      <c r="G49" s="20"/>
      <c r="H49" s="20"/>
      <c r="I49" s="20"/>
      <c r="J49" s="20"/>
      <c r="K49" s="20"/>
      <c r="L49" s="20"/>
      <c r="M49" s="20"/>
      <c r="N49" s="20"/>
      <c r="O49" s="20"/>
      <c r="P49" s="20"/>
      <c r="Q49" s="20"/>
      <c r="R49" s="20"/>
      <c r="S49" s="20"/>
    </row>
    <row r="50" spans="1:19" x14ac:dyDescent="0.35">
      <c r="A50" s="20"/>
      <c r="B50" s="15"/>
      <c r="C50" s="75" t="s">
        <v>191</v>
      </c>
      <c r="D50" s="12" cm="1">
        <f t="array" ref="D50:D52">COUNTIFS(D$7:D$42,$B$45:$B$47,EnterData_3[Component],"FD")</f>
        <v>0</v>
      </c>
      <c r="E50" s="66" cm="1">
        <f t="array" ref="E50:E52">COUNTIFS(D$7:D$42,$B$45:$B$47,EnterData_3[Component],"FD",E$7:E$42,"Y")</f>
        <v>0</v>
      </c>
      <c r="F50" s="66"/>
      <c r="G50" s="20"/>
      <c r="H50" s="20"/>
      <c r="I50" s="20"/>
      <c r="J50" s="20"/>
      <c r="K50" s="20"/>
      <c r="L50" s="20"/>
      <c r="M50" s="20"/>
      <c r="N50" s="20"/>
      <c r="O50" s="20"/>
      <c r="P50" s="20"/>
      <c r="Q50" s="20"/>
      <c r="R50" s="20"/>
      <c r="S50" s="20"/>
    </row>
    <row r="51" spans="1:19" x14ac:dyDescent="0.35">
      <c r="A51" s="20"/>
      <c r="B51" s="15"/>
      <c r="C51" s="76" t="s">
        <v>193</v>
      </c>
      <c r="D51" s="13">
        <v>5</v>
      </c>
      <c r="E51" s="67">
        <v>4</v>
      </c>
      <c r="F51" s="67"/>
      <c r="G51" s="20"/>
      <c r="H51" s="20"/>
      <c r="I51" s="20"/>
      <c r="J51" s="20"/>
      <c r="K51" s="20"/>
      <c r="L51" s="20"/>
      <c r="M51" s="20"/>
      <c r="N51" s="20"/>
      <c r="O51" s="20"/>
      <c r="P51" s="20"/>
      <c r="Q51" s="20"/>
      <c r="R51" s="20"/>
      <c r="S51" s="20"/>
    </row>
    <row r="52" spans="1:19" x14ac:dyDescent="0.35">
      <c r="A52" s="20"/>
      <c r="B52" s="15"/>
      <c r="C52" s="77" t="s">
        <v>195</v>
      </c>
      <c r="D52" s="14">
        <v>5</v>
      </c>
      <c r="E52" s="68">
        <v>5</v>
      </c>
      <c r="F52" s="68"/>
      <c r="G52" s="20"/>
      <c r="H52" s="20"/>
      <c r="I52" s="20"/>
      <c r="J52" s="20"/>
      <c r="K52" s="20"/>
      <c r="L52" s="20"/>
      <c r="M52" s="20"/>
      <c r="N52" s="20"/>
      <c r="O52" s="20"/>
      <c r="P52" s="20"/>
      <c r="Q52" s="20"/>
      <c r="R52" s="20"/>
      <c r="S52" s="20"/>
    </row>
    <row r="53" spans="1:19" x14ac:dyDescent="0.35">
      <c r="A53" s="20"/>
      <c r="B53" s="15"/>
      <c r="C53" s="78"/>
      <c r="D53" s="15"/>
      <c r="E53" s="69"/>
      <c r="F53" s="69"/>
      <c r="G53" s="20"/>
      <c r="H53" s="20"/>
      <c r="I53" s="20"/>
      <c r="J53" s="20"/>
      <c r="K53" s="20"/>
      <c r="L53" s="20"/>
      <c r="M53" s="20"/>
      <c r="N53" s="20"/>
      <c r="O53" s="20"/>
      <c r="P53" s="20"/>
      <c r="Q53" s="20"/>
      <c r="R53" s="20"/>
      <c r="S53" s="20"/>
    </row>
    <row r="54" spans="1:19" x14ac:dyDescent="0.35">
      <c r="A54" s="20"/>
      <c r="B54" s="15"/>
      <c r="C54" s="80" t="s">
        <v>82</v>
      </c>
      <c r="D54" s="17" t="s">
        <v>79</v>
      </c>
      <c r="E54" s="71" t="s">
        <v>80</v>
      </c>
      <c r="F54" s="71"/>
      <c r="G54" s="20"/>
      <c r="H54" s="20"/>
      <c r="I54" s="20"/>
      <c r="J54" s="20"/>
      <c r="K54" s="20"/>
      <c r="L54" s="20"/>
      <c r="M54" s="20"/>
      <c r="N54" s="20"/>
      <c r="O54" s="20"/>
      <c r="P54" s="20"/>
      <c r="Q54" s="20"/>
      <c r="R54" s="20"/>
      <c r="S54" s="20"/>
    </row>
    <row r="55" spans="1:19" x14ac:dyDescent="0.35">
      <c r="A55" s="20"/>
      <c r="B55" s="15"/>
      <c r="C55" s="75" t="s">
        <v>191</v>
      </c>
      <c r="D55" s="12" cm="1">
        <f t="array" ref="D55:D57">COUNTIFS(D$7:D$42,$B$45:$B$47,EnterData_3[Component],"IN")</f>
        <v>1</v>
      </c>
      <c r="E55" s="66" cm="1">
        <f t="array" ref="E55:E57">COUNTIFS(D$7:D$42,$B$45:$B$47,EnterData_3[Component],"IN",E$7:E$42,"Y")</f>
        <v>0</v>
      </c>
      <c r="F55" s="66"/>
      <c r="G55" s="20"/>
      <c r="H55" s="20"/>
      <c r="I55" s="20"/>
      <c r="J55" s="20"/>
      <c r="K55" s="20"/>
      <c r="L55" s="20"/>
      <c r="M55" s="20"/>
      <c r="N55" s="20"/>
      <c r="O55" s="20"/>
      <c r="P55" s="20"/>
      <c r="Q55" s="20"/>
      <c r="R55" s="20"/>
      <c r="S55" s="20"/>
    </row>
    <row r="56" spans="1:19" x14ac:dyDescent="0.35">
      <c r="A56" s="20"/>
      <c r="B56" s="15"/>
      <c r="C56" s="76" t="s">
        <v>193</v>
      </c>
      <c r="D56" s="13">
        <v>3</v>
      </c>
      <c r="E56" s="67">
        <v>2</v>
      </c>
      <c r="F56" s="67"/>
      <c r="G56" s="20"/>
      <c r="H56" s="20"/>
      <c r="I56" s="20"/>
      <c r="J56" s="20"/>
      <c r="K56" s="20"/>
      <c r="L56" s="20"/>
      <c r="M56" s="20"/>
      <c r="N56" s="20"/>
      <c r="O56" s="20"/>
      <c r="P56" s="20"/>
      <c r="Q56" s="20"/>
      <c r="R56" s="20"/>
      <c r="S56" s="20"/>
    </row>
    <row r="57" spans="1:19" x14ac:dyDescent="0.35">
      <c r="A57" s="20"/>
      <c r="B57" s="15"/>
      <c r="C57" s="77" t="s">
        <v>195</v>
      </c>
      <c r="D57" s="14">
        <v>9</v>
      </c>
      <c r="E57" s="68">
        <v>9</v>
      </c>
      <c r="F57" s="68"/>
      <c r="G57" s="20"/>
      <c r="H57" s="20"/>
      <c r="I57" s="20"/>
      <c r="J57" s="20"/>
      <c r="K57" s="20"/>
      <c r="L57" s="20"/>
      <c r="M57" s="20"/>
      <c r="N57" s="20"/>
      <c r="O57" s="20"/>
      <c r="P57" s="20"/>
      <c r="Q57" s="20"/>
      <c r="R57" s="20"/>
      <c r="S57" s="20"/>
    </row>
    <row r="58" spans="1:19" x14ac:dyDescent="0.35">
      <c r="A58" s="20"/>
      <c r="B58" s="15"/>
      <c r="C58" s="78"/>
      <c r="D58" s="15"/>
      <c r="E58" s="69"/>
      <c r="F58" s="69"/>
      <c r="G58" s="20"/>
      <c r="H58" s="20"/>
      <c r="I58" s="20"/>
      <c r="J58" s="20"/>
      <c r="K58" s="20"/>
      <c r="L58" s="20"/>
      <c r="M58" s="20"/>
      <c r="N58" s="20"/>
      <c r="O58" s="20"/>
      <c r="P58" s="20"/>
      <c r="Q58" s="20"/>
      <c r="R58" s="20"/>
      <c r="S58" s="20"/>
    </row>
    <row r="59" spans="1:19" x14ac:dyDescent="0.35">
      <c r="A59" s="20"/>
      <c r="B59" s="15"/>
      <c r="C59" s="81" t="s">
        <v>83</v>
      </c>
      <c r="D59" s="18" t="s">
        <v>79</v>
      </c>
      <c r="E59" s="72" t="s">
        <v>80</v>
      </c>
      <c r="F59" s="72"/>
      <c r="G59" s="20"/>
      <c r="H59" s="20"/>
      <c r="I59" s="20"/>
      <c r="J59" s="20"/>
      <c r="K59" s="20"/>
      <c r="L59" s="20"/>
      <c r="M59" s="20"/>
      <c r="N59" s="20"/>
      <c r="O59" s="20"/>
      <c r="P59" s="20"/>
      <c r="Q59" s="20"/>
      <c r="R59" s="20"/>
      <c r="S59" s="20"/>
    </row>
    <row r="60" spans="1:19" x14ac:dyDescent="0.35">
      <c r="A60" s="20"/>
      <c r="B60" s="15"/>
      <c r="C60" s="75" t="s">
        <v>191</v>
      </c>
      <c r="D60" s="19" cm="1">
        <f t="array" ref="D60:D62">COUNTIFS(D$7:D$42,$B$45:$B$47,EnterData_3[Component],"DC")</f>
        <v>1</v>
      </c>
      <c r="E60" s="73" cm="1">
        <f t="array" ref="E60:E62">COUNTIFS(D$7:D$42,$B$45:$B$47,EnterData_3[Component],"DC",E$7:E$42,"Y")</f>
        <v>0</v>
      </c>
      <c r="F60" s="73"/>
      <c r="G60" s="20"/>
      <c r="H60" s="20"/>
      <c r="I60" s="20"/>
      <c r="J60" s="20"/>
      <c r="K60" s="20"/>
      <c r="L60" s="20"/>
      <c r="M60" s="20"/>
      <c r="N60" s="20"/>
      <c r="O60" s="20"/>
      <c r="P60" s="20"/>
      <c r="Q60" s="20"/>
      <c r="R60" s="20"/>
      <c r="S60" s="20"/>
    </row>
    <row r="61" spans="1:19" x14ac:dyDescent="0.35">
      <c r="A61" s="20"/>
      <c r="B61" s="15"/>
      <c r="C61" s="76" t="s">
        <v>193</v>
      </c>
      <c r="D61" s="13">
        <v>8</v>
      </c>
      <c r="E61" s="67">
        <v>7</v>
      </c>
      <c r="F61" s="67"/>
      <c r="G61" s="20"/>
      <c r="H61" s="20"/>
      <c r="I61" s="20"/>
      <c r="J61" s="20"/>
      <c r="K61" s="20"/>
      <c r="L61" s="20"/>
      <c r="M61" s="20"/>
      <c r="N61" s="20"/>
      <c r="O61" s="20"/>
      <c r="P61" s="20"/>
      <c r="Q61" s="20"/>
      <c r="R61" s="20"/>
      <c r="S61" s="20"/>
    </row>
    <row r="62" spans="1:19" x14ac:dyDescent="0.35">
      <c r="A62" s="20"/>
      <c r="B62" s="15"/>
      <c r="C62" s="77" t="s">
        <v>195</v>
      </c>
      <c r="D62" s="14">
        <v>4</v>
      </c>
      <c r="E62" s="68">
        <v>4</v>
      </c>
      <c r="F62" s="68"/>
      <c r="G62" s="20"/>
      <c r="H62" s="20"/>
      <c r="I62" s="20"/>
      <c r="J62" s="20"/>
      <c r="K62" s="20"/>
      <c r="L62" s="20"/>
      <c r="M62" s="20"/>
      <c r="N62" s="20"/>
      <c r="O62" s="20"/>
      <c r="P62" s="20"/>
      <c r="Q62" s="20"/>
      <c r="R62" s="20"/>
      <c r="S62" s="20"/>
    </row>
    <row r="63" spans="1:19" x14ac:dyDescent="0.35">
      <c r="A63" s="283" t="s">
        <v>150</v>
      </c>
      <c r="B63" s="20"/>
      <c r="C63" s="20"/>
      <c r="D63" s="20"/>
      <c r="E63" s="20"/>
      <c r="F63" s="20"/>
      <c r="G63" s="20"/>
      <c r="H63" s="20"/>
      <c r="I63" s="20"/>
      <c r="J63" s="20"/>
      <c r="K63" s="20"/>
      <c r="L63" s="20"/>
      <c r="M63" s="20"/>
      <c r="N63" s="20"/>
      <c r="O63" s="20"/>
      <c r="P63" s="20"/>
      <c r="Q63" s="20"/>
      <c r="R63" s="20"/>
      <c r="S63" s="20"/>
    </row>
    <row r="64" spans="1:19" x14ac:dyDescent="0.35">
      <c r="A64" s="20"/>
      <c r="B64" s="20"/>
      <c r="C64" s="20"/>
      <c r="D64" s="20"/>
      <c r="E64" s="20"/>
      <c r="F64" s="20"/>
      <c r="G64" s="20"/>
      <c r="H64" s="20"/>
      <c r="I64" s="20"/>
      <c r="J64" s="20"/>
      <c r="K64" s="20"/>
    </row>
    <row r="65" spans="1:11" x14ac:dyDescent="0.35">
      <c r="A65" s="20"/>
      <c r="B65" s="20"/>
      <c r="C65" s="20"/>
      <c r="D65" s="20"/>
      <c r="E65" s="20"/>
      <c r="F65" s="20"/>
      <c r="G65" s="20"/>
      <c r="H65" s="20"/>
      <c r="I65" s="20"/>
      <c r="J65" s="20"/>
      <c r="K65" s="20"/>
    </row>
    <row r="66" spans="1:11" x14ac:dyDescent="0.35">
      <c r="A66" s="20"/>
      <c r="B66" s="20"/>
      <c r="C66" s="20"/>
      <c r="D66" s="20"/>
      <c r="E66" s="20"/>
      <c r="F66" s="20"/>
      <c r="G66" s="20"/>
      <c r="H66" s="20"/>
      <c r="I66" s="20"/>
      <c r="J66" s="20"/>
      <c r="K66" s="20"/>
    </row>
  </sheetData>
  <sheetProtection sheet="1" formatCells="0" formatColumns="0" formatRows="0"/>
  <conditionalFormatting sqref="F7:F42">
    <cfRule type="expression" dxfId="101" priority="2">
      <formula>OR(D7="Min comp",D7="Comp")</formula>
    </cfRule>
  </conditionalFormatting>
  <conditionalFormatting sqref="J7:J42">
    <cfRule type="expression" dxfId="100" priority="4">
      <formula>$J7&lt;&gt;""</formula>
    </cfRule>
    <cfRule type="expression" dxfId="99" priority="8">
      <formula>LEFT($J7)="F"</formula>
    </cfRule>
    <cfRule type="expression" dxfId="98" priority="9">
      <formula>LEFT($J7)="I"</formula>
    </cfRule>
    <cfRule type="expression" dxfId="97" priority="12">
      <formula>LEFT($J7)="D"</formula>
    </cfRule>
  </conditionalFormatting>
  <conditionalFormatting sqref="J7:O42">
    <cfRule type="expression" dxfId="96" priority="5">
      <formula>AND($J7&lt;&gt;"",$J8="")</formula>
    </cfRule>
    <cfRule type="expression" dxfId="95" priority="6">
      <formula>$J7&lt;&gt;""</formula>
    </cfRule>
  </conditionalFormatting>
  <conditionalFormatting sqref="L7:O42">
    <cfRule type="expression" dxfId="94" priority="7">
      <formula>$J7&lt;&gt;""</formula>
    </cfRule>
  </conditionalFormatting>
  <conditionalFormatting sqref="O7:O42">
    <cfRule type="expression" dxfId="93" priority="3">
      <formula>$J7&lt;&gt;""</formula>
    </cfRule>
  </conditionalFormatting>
  <dataValidations count="4">
    <dataValidation type="list" allowBlank="1" showInputMessage="1" showErrorMessage="1" sqref="D7:D42" xr:uid="{B6D57F03-E994-472E-A6EB-F90672044F2B}">
      <formula1>"Min comp, Comp, Hi comp"</formula1>
    </dataValidation>
    <dataValidation type="list" allowBlank="1" showInputMessage="1" showErrorMessage="1" sqref="L7:L42" xr:uid="{C6228C0D-11AA-4CDB-A363-D3E20CC65BAB}">
      <formula1>"yes,no"</formula1>
    </dataValidation>
    <dataValidation type="list" allowBlank="1" showInputMessage="1" showErrorMessage="1" sqref="F7:F42" xr:uid="{464D5DF8-A75A-4298-A1EE-AF432638ECA3}">
      <formula1>"Y,N"</formula1>
    </dataValidation>
    <dataValidation type="list" allowBlank="1" showInputMessage="1" showErrorMessage="1" sqref="E7:E42" xr:uid="{2279EA0B-83D2-4110-8BD9-5B347B823B04}">
      <formula1>"Y,N,?"</formula1>
    </dataValidation>
  </dataValidations>
  <pageMargins left="0.7" right="0.7" top="0.75" bottom="0.75" header="0.3" footer="0.3"/>
  <pageSetup scale="61" fitToHeight="0" orientation="landscape" horizontalDpi="4294967293" verticalDpi="0" r:id="rId1"/>
  <headerFooter>
    <oddHeader>&amp;LLearning Plan 3&amp;RPrinted on: &amp;D</oddHeader>
    <oddFooter>&amp;CPage &amp;P of &amp;N</oddFooter>
  </headerFooter>
  <legacyDrawing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AEA49A28-CB34-4DC9-B9D2-90D73CBD1A99}">
            <xm:f>OR('SA1'!$G$3="",$G$4="")</xm:f>
            <x14:dxf>
              <font>
                <color theme="0"/>
              </font>
              <fill>
                <patternFill>
                  <bgColor theme="0"/>
                </patternFill>
              </fill>
              <border>
                <left style="thin">
                  <color theme="0"/>
                </left>
                <right style="thin">
                  <color theme="0"/>
                </right>
                <top style="thin">
                  <color theme="0"/>
                </top>
                <bottom style="thin">
                  <color theme="0"/>
                </bottom>
                <vertical/>
                <horizontal/>
              </border>
            </x14:dxf>
          </x14:cfRule>
          <xm:sqref>A5:O42</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2BE38-C849-4E78-991E-0A8A25E50B1A}">
  <sheetPr>
    <tabColor rgb="FFFFFFCC"/>
    <pageSetUpPr fitToPage="1"/>
  </sheetPr>
  <dimension ref="A1:S66"/>
  <sheetViews>
    <sheetView showGridLines="0" zoomScaleNormal="100" workbookViewId="0">
      <pane ySplit="6" topLeftCell="A7" activePane="bottomLeft" state="frozen"/>
      <selection activeCell="G4" sqref="G4"/>
      <selection pane="bottomLeft"/>
    </sheetView>
  </sheetViews>
  <sheetFormatPr defaultRowHeight="14.5" x14ac:dyDescent="0.35"/>
  <cols>
    <col min="1" max="1" width="7.26953125" customWidth="1"/>
    <col min="2" max="2" width="12.54296875" style="22" customWidth="1"/>
    <col min="3" max="3" width="54.08984375" style="22" customWidth="1"/>
    <col min="4" max="4" width="10.1796875" customWidth="1"/>
    <col min="5" max="5" width="8.453125" customWidth="1"/>
    <col min="6" max="6" width="7.90625" customWidth="1"/>
    <col min="7" max="7" width="36.36328125" customWidth="1"/>
    <col min="8" max="8" width="0" hidden="1" customWidth="1"/>
    <col min="9" max="9" width="2.26953125" customWidth="1"/>
    <col min="10" max="10" width="7.26953125" customWidth="1"/>
    <col min="11" max="11" width="85.1796875" style="22" customWidth="1"/>
    <col min="12" max="12" width="14.453125" customWidth="1"/>
    <col min="13" max="13" width="44.453125" customWidth="1"/>
    <col min="14" max="14" width="16" style="44" customWidth="1"/>
    <col min="15" max="15" width="30.54296875" customWidth="1"/>
    <col min="16" max="16" width="1.453125" customWidth="1"/>
  </cols>
  <sheetData>
    <row r="1" spans="1:19" s="270" customFormat="1" ht="10.5" x14ac:dyDescent="0.25">
      <c r="A1" s="271" t="s">
        <v>113</v>
      </c>
      <c r="B1" s="272"/>
      <c r="C1" s="272"/>
      <c r="K1" s="272"/>
      <c r="N1" s="273"/>
    </row>
    <row r="2" spans="1:19" x14ac:dyDescent="0.35">
      <c r="A2" s="245" t="str">
        <f>IF('SA1'!$G$3="","You must enter a name (or role) in worksheet SA1, cell G3 to activate the workbook.",IF($G$4="","You must enter a Date of Self Assessment in G4 to activate this worksheet.",""))</f>
        <v>You must enter a Date of Self Assessment in G4 to activate this worksheet.</v>
      </c>
    </row>
    <row r="3" spans="1:19" x14ac:dyDescent="0.35">
      <c r="G3" s="314"/>
    </row>
    <row r="4" spans="1:19" ht="20.5" thickBot="1" x14ac:dyDescent="0.4">
      <c r="A4" s="31" t="s">
        <v>123</v>
      </c>
      <c r="B4" s="32"/>
      <c r="C4" s="32"/>
      <c r="F4" s="33" t="s">
        <v>105</v>
      </c>
      <c r="G4" s="285"/>
      <c r="J4" s="31" t="s">
        <v>117</v>
      </c>
      <c r="K4" s="32"/>
      <c r="M4" s="33" t="s">
        <v>97</v>
      </c>
      <c r="N4" s="285"/>
      <c r="O4" s="34"/>
      <c r="P4" s="35"/>
    </row>
    <row r="5" spans="1:19" x14ac:dyDescent="0.35">
      <c r="J5" s="36" t="str">
        <f>calc!E10</f>
        <v>Please complete 36 Rating(s) in column D before using the Learning Plan.</v>
      </c>
      <c r="K5" s="37"/>
      <c r="L5" s="38"/>
      <c r="M5" s="38"/>
      <c r="N5" s="43"/>
      <c r="O5" s="39"/>
      <c r="P5" s="38"/>
    </row>
    <row r="6" spans="1:19" ht="43.5" x14ac:dyDescent="0.35">
      <c r="A6" s="45" t="s">
        <v>94</v>
      </c>
      <c r="B6" s="46" t="s">
        <v>0</v>
      </c>
      <c r="C6" s="47" t="s">
        <v>1</v>
      </c>
      <c r="D6" s="48" t="s">
        <v>84</v>
      </c>
      <c r="E6" s="45" t="s">
        <v>85</v>
      </c>
      <c r="F6" s="45" t="s">
        <v>86</v>
      </c>
      <c r="G6" s="49" t="s">
        <v>95</v>
      </c>
      <c r="H6" s="50" t="s">
        <v>90</v>
      </c>
      <c r="J6" s="60" t="s">
        <v>98</v>
      </c>
      <c r="K6" s="61" t="s">
        <v>1</v>
      </c>
      <c r="L6" s="62" t="s">
        <v>99</v>
      </c>
      <c r="M6" s="62" t="s">
        <v>100</v>
      </c>
      <c r="N6" s="291" t="s">
        <v>101</v>
      </c>
      <c r="O6" s="63" t="s">
        <v>95</v>
      </c>
      <c r="P6" s="38"/>
    </row>
    <row r="7" spans="1:19" ht="18.5" x14ac:dyDescent="0.35">
      <c r="A7" s="1">
        <v>1</v>
      </c>
      <c r="B7" s="24" t="s">
        <v>2</v>
      </c>
      <c r="C7" s="21" t="s">
        <v>3</v>
      </c>
      <c r="D7" s="57"/>
      <c r="E7" s="2" t="str">
        <f>EnterData_3[[#This Row],[Essential]]&amp;""</f>
        <v>Y</v>
      </c>
      <c r="F7" s="288"/>
      <c r="G7" s="52"/>
      <c r="H7" s="24" t="s">
        <v>91</v>
      </c>
      <c r="J7" s="38" t="str">
        <f>calc!E13&amp;""</f>
        <v/>
      </c>
      <c r="K7" s="37" t="str">
        <f>_xlfn.LET(_xlpm.x,INDEX(EnterData_8[Competencies],MATCH(J7,EnterData_8[Competency Num],0),1),IF(ISERROR(_xlpm.x),"",_xlpm.x))</f>
        <v/>
      </c>
      <c r="L7" s="294"/>
      <c r="M7" s="295"/>
      <c r="N7" s="296"/>
      <c r="O7" s="296"/>
      <c r="P7" s="20"/>
      <c r="Q7" s="20"/>
      <c r="R7" s="20"/>
      <c r="S7" s="20"/>
    </row>
    <row r="8" spans="1:19" ht="29" x14ac:dyDescent="0.35">
      <c r="A8" s="3">
        <v>2</v>
      </c>
      <c r="B8" s="25" t="s">
        <v>5</v>
      </c>
      <c r="C8" s="4" t="s">
        <v>6</v>
      </c>
      <c r="D8" s="58"/>
      <c r="E8" s="5" t="str">
        <f>EnterData_3[[#This Row],[Essential]]&amp;""</f>
        <v>Y</v>
      </c>
      <c r="F8" s="289"/>
      <c r="G8" s="53"/>
      <c r="H8" s="25" t="s">
        <v>91</v>
      </c>
      <c r="J8" s="38" t="str">
        <f>calc!E14&amp;""</f>
        <v/>
      </c>
      <c r="K8" s="37" t="str">
        <f>_xlfn.LET(_xlpm.x,INDEX(EnterData_8[Competencies],MATCH(J8,EnterData_8[Competency Num],0),1),IF(ISERROR(_xlpm.x),"",_xlpm.x))</f>
        <v/>
      </c>
      <c r="L8" s="294"/>
      <c r="M8" s="295"/>
      <c r="N8" s="296"/>
      <c r="O8" s="296"/>
      <c r="P8" s="20"/>
      <c r="Q8" s="20"/>
      <c r="R8" s="20"/>
      <c r="S8" s="20"/>
    </row>
    <row r="9" spans="1:19" ht="72.5" x14ac:dyDescent="0.35">
      <c r="A9" s="3">
        <v>3</v>
      </c>
      <c r="B9" s="25" t="s">
        <v>8</v>
      </c>
      <c r="C9" s="4" t="s">
        <v>9</v>
      </c>
      <c r="D9" s="58"/>
      <c r="E9" s="5" t="str">
        <f>EnterData_3[[#This Row],[Essential]]&amp;""</f>
        <v>Y</v>
      </c>
      <c r="F9" s="289"/>
      <c r="G9" s="53"/>
      <c r="H9" s="25" t="s">
        <v>91</v>
      </c>
      <c r="J9" s="38" t="str">
        <f>calc!E15&amp;""</f>
        <v/>
      </c>
      <c r="K9" s="37" t="str">
        <f>_xlfn.LET(_xlpm.x,INDEX(EnterData_8[Competencies],MATCH(J9,EnterData_8[Competency Num],0),1),IF(ISERROR(_xlpm.x),"",_xlpm.x))</f>
        <v/>
      </c>
      <c r="L9" s="294"/>
      <c r="M9" s="295"/>
      <c r="N9" s="296"/>
      <c r="O9" s="296"/>
      <c r="P9" s="20"/>
      <c r="Q9" s="20"/>
      <c r="R9" s="20"/>
      <c r="S9" s="20"/>
    </row>
    <row r="10" spans="1:19" ht="43.5" x14ac:dyDescent="0.35">
      <c r="A10" s="3">
        <v>4</v>
      </c>
      <c r="B10" s="25" t="s">
        <v>10</v>
      </c>
      <c r="C10" s="4" t="s">
        <v>11</v>
      </c>
      <c r="D10" s="58"/>
      <c r="E10" s="5" t="str">
        <f>EnterData_3[[#This Row],[Essential]]&amp;""</f>
        <v>Y</v>
      </c>
      <c r="F10" s="289"/>
      <c r="G10" s="53"/>
      <c r="H10" s="25" t="s">
        <v>91</v>
      </c>
      <c r="J10" s="38" t="str">
        <f>calc!E16&amp;""</f>
        <v/>
      </c>
      <c r="K10" s="37" t="str">
        <f>_xlfn.LET(_xlpm.x,INDEX(EnterData_8[Competencies],MATCH(J10,EnterData_8[Competency Num],0),1),IF(ISERROR(_xlpm.x),"",_xlpm.x))</f>
        <v/>
      </c>
      <c r="L10" s="294"/>
      <c r="M10" s="295"/>
      <c r="N10" s="296"/>
      <c r="O10" s="296"/>
      <c r="P10" s="20"/>
      <c r="Q10" s="20"/>
      <c r="R10" s="20"/>
      <c r="S10" s="20"/>
    </row>
    <row r="11" spans="1:19" ht="58" x14ac:dyDescent="0.35">
      <c r="A11" s="3">
        <v>5</v>
      </c>
      <c r="B11" s="25" t="s">
        <v>12</v>
      </c>
      <c r="C11" s="4" t="s">
        <v>13</v>
      </c>
      <c r="D11" s="58"/>
      <c r="E11" s="5" t="str">
        <f>EnterData_3[[#This Row],[Essential]]&amp;""</f>
        <v>Y</v>
      </c>
      <c r="F11" s="289"/>
      <c r="G11" s="53"/>
      <c r="H11" s="25" t="s">
        <v>91</v>
      </c>
      <c r="J11" s="38" t="str">
        <f>calc!E17&amp;""</f>
        <v/>
      </c>
      <c r="K11" s="37" t="str">
        <f>_xlfn.LET(_xlpm.x,INDEX(EnterData_8[Competencies],MATCH(J11,EnterData_8[Competency Num],0),1),IF(ISERROR(_xlpm.x),"",_xlpm.x))</f>
        <v/>
      </c>
      <c r="L11" s="294"/>
      <c r="M11" s="295"/>
      <c r="N11" s="296"/>
      <c r="O11" s="296"/>
      <c r="P11" s="20"/>
      <c r="Q11" s="20"/>
      <c r="R11" s="20"/>
      <c r="S11" s="20"/>
    </row>
    <row r="12" spans="1:19" ht="43.5" x14ac:dyDescent="0.35">
      <c r="A12" s="3">
        <v>6</v>
      </c>
      <c r="B12" s="25" t="s">
        <v>15</v>
      </c>
      <c r="C12" s="4" t="s">
        <v>16</v>
      </c>
      <c r="D12" s="58"/>
      <c r="E12" s="5" t="str">
        <f>EnterData_3[[#This Row],[Essential]]&amp;""</f>
        <v>Y</v>
      </c>
      <c r="F12" s="289"/>
      <c r="G12" s="53"/>
      <c r="H12" s="25" t="s">
        <v>91</v>
      </c>
      <c r="J12" s="38" t="str">
        <f>calc!E18&amp;""</f>
        <v/>
      </c>
      <c r="K12" s="37" t="str">
        <f>_xlfn.LET(_xlpm.x,INDEX(EnterData_8[Competencies],MATCH(J12,EnterData_8[Competency Num],0),1),IF(ISERROR(_xlpm.x),"",_xlpm.x))</f>
        <v/>
      </c>
      <c r="L12" s="294"/>
      <c r="M12" s="295"/>
      <c r="N12" s="296"/>
      <c r="O12" s="296"/>
      <c r="P12" s="20"/>
      <c r="Q12" s="20"/>
      <c r="R12" s="20"/>
      <c r="S12" s="20"/>
    </row>
    <row r="13" spans="1:19" ht="58" x14ac:dyDescent="0.35">
      <c r="A13" s="3">
        <v>7</v>
      </c>
      <c r="B13" s="25" t="s">
        <v>17</v>
      </c>
      <c r="C13" s="4" t="s">
        <v>18</v>
      </c>
      <c r="D13" s="58"/>
      <c r="E13" s="5" t="str">
        <f>EnterData_3[[#This Row],[Essential]]&amp;""</f>
        <v>Y</v>
      </c>
      <c r="F13" s="289"/>
      <c r="G13" s="53"/>
      <c r="H13" s="25" t="s">
        <v>91</v>
      </c>
      <c r="J13" s="38" t="str">
        <f>calc!E19&amp;""</f>
        <v/>
      </c>
      <c r="K13" s="37" t="str">
        <f>_xlfn.LET(_xlpm.x,INDEX(EnterData_8[Competencies],MATCH(J13,EnterData_8[Competency Num],0),1),IF(ISERROR(_xlpm.x),"",_xlpm.x))</f>
        <v/>
      </c>
      <c r="L13" s="294"/>
      <c r="M13" s="295"/>
      <c r="N13" s="296"/>
      <c r="O13" s="296"/>
      <c r="P13" s="20"/>
      <c r="Q13" s="20"/>
      <c r="R13" s="20"/>
      <c r="S13" s="20"/>
    </row>
    <row r="14" spans="1:19" ht="58" x14ac:dyDescent="0.35">
      <c r="A14" s="3">
        <v>8</v>
      </c>
      <c r="B14" s="25" t="s">
        <v>19</v>
      </c>
      <c r="C14" s="4" t="s">
        <v>20</v>
      </c>
      <c r="D14" s="58"/>
      <c r="E14" s="5" t="str">
        <f>EnterData_3[[#This Row],[Essential]]&amp;""</f>
        <v>N</v>
      </c>
      <c r="F14" s="289"/>
      <c r="G14" s="53"/>
      <c r="H14" s="25" t="s">
        <v>91</v>
      </c>
      <c r="J14" s="38" t="str">
        <f>calc!E20&amp;""</f>
        <v/>
      </c>
      <c r="K14" s="37" t="str">
        <f>_xlfn.LET(_xlpm.x,INDEX(EnterData_8[Competencies],MATCH(J14,EnterData_8[Competency Num],0),1),IF(ISERROR(_xlpm.x),"",_xlpm.x))</f>
        <v/>
      </c>
      <c r="L14" s="294"/>
      <c r="M14" s="295"/>
      <c r="N14" s="296"/>
      <c r="O14" s="296"/>
      <c r="P14" s="20"/>
      <c r="Q14" s="20"/>
      <c r="R14" s="20"/>
      <c r="S14" s="20"/>
    </row>
    <row r="15" spans="1:19" ht="29" x14ac:dyDescent="0.35">
      <c r="A15" s="3">
        <v>9</v>
      </c>
      <c r="B15" s="25" t="s">
        <v>21</v>
      </c>
      <c r="C15" s="4" t="s">
        <v>22</v>
      </c>
      <c r="D15" s="58"/>
      <c r="E15" s="5" t="str">
        <f>EnterData_3[[#This Row],[Essential]]&amp;""</f>
        <v>Y</v>
      </c>
      <c r="F15" s="289"/>
      <c r="G15" s="53"/>
      <c r="H15" s="25" t="s">
        <v>91</v>
      </c>
      <c r="J15" s="38" t="str">
        <f>calc!E21&amp;""</f>
        <v/>
      </c>
      <c r="K15" s="37" t="str">
        <f>_xlfn.LET(_xlpm.x,INDEX(EnterData_8[Competencies],MATCH(J15,EnterData_8[Competency Num],0),1),IF(ISERROR(_xlpm.x),"",_xlpm.x))</f>
        <v/>
      </c>
      <c r="L15" s="294"/>
      <c r="M15" s="295"/>
      <c r="N15" s="296"/>
      <c r="O15" s="296"/>
      <c r="P15" s="20"/>
      <c r="Q15" s="20"/>
      <c r="R15" s="20"/>
      <c r="S15" s="20"/>
    </row>
    <row r="16" spans="1:19" ht="58" x14ac:dyDescent="0.35">
      <c r="A16" s="3">
        <v>10</v>
      </c>
      <c r="B16" s="319" t="s">
        <v>23</v>
      </c>
      <c r="C16" s="320" t="s">
        <v>24</v>
      </c>
      <c r="D16" s="299"/>
      <c r="E16" s="300" t="str">
        <f>EnterData_3[[#This Row],[Essential]]&amp;""</f>
        <v>Y</v>
      </c>
      <c r="F16" s="301"/>
      <c r="G16" s="302"/>
      <c r="H16" s="25" t="s">
        <v>91</v>
      </c>
      <c r="J16" s="38" t="str">
        <f>calc!E22&amp;""</f>
        <v/>
      </c>
      <c r="K16" s="37" t="str">
        <f>_xlfn.LET(_xlpm.x,INDEX(EnterData_8[Competencies],MATCH(J16,EnterData_8[Competency Num],0),1),IF(ISERROR(_xlpm.x),"",_xlpm.x))</f>
        <v/>
      </c>
      <c r="L16" s="294"/>
      <c r="M16" s="295"/>
      <c r="N16" s="296"/>
      <c r="O16" s="296"/>
      <c r="P16" s="20"/>
      <c r="Q16" s="20"/>
      <c r="R16" s="20"/>
      <c r="S16" s="20"/>
    </row>
    <row r="17" spans="1:19" ht="58" x14ac:dyDescent="0.35">
      <c r="A17" s="6">
        <v>11</v>
      </c>
      <c r="B17" s="316" t="s">
        <v>25</v>
      </c>
      <c r="C17" s="317" t="s">
        <v>26</v>
      </c>
      <c r="D17" s="57"/>
      <c r="E17" s="2" t="str">
        <f>EnterData_3[[#This Row],[Essential]]&amp;""</f>
        <v>Y</v>
      </c>
      <c r="F17" s="288"/>
      <c r="G17" s="318"/>
      <c r="H17" s="26" t="s">
        <v>92</v>
      </c>
      <c r="J17" s="38" t="str">
        <f>calc!E23&amp;""</f>
        <v/>
      </c>
      <c r="K17" s="37" t="str">
        <f>_xlfn.LET(_xlpm.x,INDEX(EnterData_8[Competencies],MATCH(J17,EnterData_8[Competency Num],0),1),IF(ISERROR(_xlpm.x),"",_xlpm.x))</f>
        <v/>
      </c>
      <c r="L17" s="294"/>
      <c r="M17" s="295"/>
      <c r="N17" s="296"/>
      <c r="O17" s="296"/>
      <c r="P17" s="20"/>
      <c r="Q17" s="20"/>
      <c r="R17" s="20"/>
      <c r="S17" s="20"/>
    </row>
    <row r="18" spans="1:19" ht="29" x14ac:dyDescent="0.35">
      <c r="A18" s="6">
        <v>12</v>
      </c>
      <c r="B18" s="26" t="s">
        <v>27</v>
      </c>
      <c r="C18" s="7" t="s">
        <v>28</v>
      </c>
      <c r="D18" s="58"/>
      <c r="E18" s="5" t="str">
        <f>EnterData_3[[#This Row],[Essential]]&amp;""</f>
        <v>Y</v>
      </c>
      <c r="F18" s="289"/>
      <c r="G18" s="53"/>
      <c r="H18" s="26" t="s">
        <v>92</v>
      </c>
      <c r="J18" s="38" t="str">
        <f>calc!E24&amp;""</f>
        <v/>
      </c>
      <c r="K18" s="37" t="str">
        <f>_xlfn.LET(_xlpm.x,INDEX(EnterData_8[Competencies],MATCH(J18,EnterData_8[Competency Num],0),1),IF(ISERROR(_xlpm.x),"",_xlpm.x))</f>
        <v/>
      </c>
      <c r="L18" s="294"/>
      <c r="M18" s="295"/>
      <c r="N18" s="296"/>
      <c r="O18" s="296"/>
      <c r="P18" s="20"/>
      <c r="Q18" s="20"/>
      <c r="R18" s="20"/>
      <c r="S18" s="20"/>
    </row>
    <row r="19" spans="1:19" ht="43.5" x14ac:dyDescent="0.35">
      <c r="A19" s="6">
        <v>13</v>
      </c>
      <c r="B19" s="26" t="s">
        <v>29</v>
      </c>
      <c r="C19" s="7" t="s">
        <v>30</v>
      </c>
      <c r="D19" s="58"/>
      <c r="E19" s="5" t="str">
        <f>EnterData_3[[#This Row],[Essential]]&amp;""</f>
        <v>Y</v>
      </c>
      <c r="F19" s="289"/>
      <c r="G19" s="53"/>
      <c r="H19" s="26" t="s">
        <v>92</v>
      </c>
      <c r="J19" s="38" t="str">
        <f>calc!E25&amp;""</f>
        <v/>
      </c>
      <c r="K19" s="37" t="str">
        <f>_xlfn.LET(_xlpm.x,INDEX(EnterData_8[Competencies],MATCH(J19,EnterData_8[Competency Num],0),1),IF(ISERROR(_xlpm.x),"",_xlpm.x))</f>
        <v/>
      </c>
      <c r="L19" s="294"/>
      <c r="M19" s="295"/>
      <c r="N19" s="296"/>
      <c r="O19" s="296"/>
      <c r="P19" s="20"/>
      <c r="Q19" s="20"/>
      <c r="R19" s="20"/>
      <c r="S19" s="20"/>
    </row>
    <row r="20" spans="1:19" ht="43.5" x14ac:dyDescent="0.35">
      <c r="A20" s="6">
        <v>14</v>
      </c>
      <c r="B20" s="26" t="s">
        <v>31</v>
      </c>
      <c r="C20" s="7" t="s">
        <v>32</v>
      </c>
      <c r="D20" s="58"/>
      <c r="E20" s="5" t="str">
        <f>EnterData_3[[#This Row],[Essential]]&amp;""</f>
        <v>N</v>
      </c>
      <c r="F20" s="289"/>
      <c r="G20" s="53"/>
      <c r="H20" s="26" t="s">
        <v>92</v>
      </c>
      <c r="J20" s="38" t="str">
        <f>calc!E26&amp;""</f>
        <v/>
      </c>
      <c r="K20" s="37" t="str">
        <f>_xlfn.LET(_xlpm.x,INDEX(EnterData_8[Competencies],MATCH(J20,EnterData_8[Competency Num],0),1),IF(ISERROR(_xlpm.x),"",_xlpm.x))</f>
        <v/>
      </c>
      <c r="L20" s="294"/>
      <c r="M20" s="295"/>
      <c r="N20" s="296"/>
      <c r="O20" s="296"/>
      <c r="P20" s="20"/>
      <c r="Q20" s="20"/>
      <c r="R20" s="20"/>
      <c r="S20" s="20"/>
    </row>
    <row r="21" spans="1:19" ht="58" x14ac:dyDescent="0.35">
      <c r="A21" s="6">
        <v>15</v>
      </c>
      <c r="B21" s="26" t="s">
        <v>33</v>
      </c>
      <c r="C21" s="7" t="s">
        <v>34</v>
      </c>
      <c r="D21" s="58"/>
      <c r="E21" s="5" t="str">
        <f>EnterData_3[[#This Row],[Essential]]&amp;""</f>
        <v>Y</v>
      </c>
      <c r="F21" s="289"/>
      <c r="G21" s="53"/>
      <c r="H21" s="26" t="s">
        <v>92</v>
      </c>
      <c r="J21" s="38" t="str">
        <f>calc!E27&amp;""</f>
        <v/>
      </c>
      <c r="K21" s="37" t="str">
        <f>_xlfn.LET(_xlpm.x,INDEX(EnterData_8[Competencies],MATCH(J21,EnterData_8[Competency Num],0),1),IF(ISERROR(_xlpm.x),"",_xlpm.x))</f>
        <v/>
      </c>
      <c r="L21" s="294"/>
      <c r="M21" s="295"/>
      <c r="N21" s="296"/>
      <c r="O21" s="296"/>
      <c r="P21" s="20"/>
      <c r="Q21" s="20"/>
      <c r="R21" s="20"/>
      <c r="S21" s="20"/>
    </row>
    <row r="22" spans="1:19" ht="29" x14ac:dyDescent="0.35">
      <c r="A22" s="6">
        <v>16</v>
      </c>
      <c r="B22" s="26" t="s">
        <v>35</v>
      </c>
      <c r="C22" s="7" t="s">
        <v>36</v>
      </c>
      <c r="D22" s="58"/>
      <c r="E22" s="5" t="str">
        <f>EnterData_3[[#This Row],[Essential]]&amp;""</f>
        <v>Y</v>
      </c>
      <c r="F22" s="289"/>
      <c r="G22" s="53"/>
      <c r="H22" s="26" t="s">
        <v>92</v>
      </c>
      <c r="J22" s="38" t="str">
        <f>calc!E28&amp;""</f>
        <v/>
      </c>
      <c r="K22" s="37" t="str">
        <f>_xlfn.LET(_xlpm.x,INDEX(EnterData_8[Competencies],MATCH(J22,EnterData_8[Competency Num],0),1),IF(ISERROR(_xlpm.x),"",_xlpm.x))</f>
        <v/>
      </c>
      <c r="L22" s="294"/>
      <c r="M22" s="295"/>
      <c r="N22" s="296"/>
      <c r="O22" s="296"/>
      <c r="P22" s="20"/>
      <c r="Q22" s="20"/>
      <c r="R22" s="20"/>
      <c r="S22" s="20"/>
    </row>
    <row r="23" spans="1:19" ht="43.5" x14ac:dyDescent="0.35">
      <c r="A23" s="6">
        <v>17</v>
      </c>
      <c r="B23" s="26" t="s">
        <v>37</v>
      </c>
      <c r="C23" s="7" t="s">
        <v>38</v>
      </c>
      <c r="D23" s="58"/>
      <c r="E23" s="5" t="str">
        <f>EnterData_3[[#This Row],[Essential]]&amp;""</f>
        <v>Y</v>
      </c>
      <c r="F23" s="289"/>
      <c r="G23" s="53"/>
      <c r="H23" s="26" t="s">
        <v>92</v>
      </c>
      <c r="J23" s="38" t="str">
        <f>calc!E29&amp;""</f>
        <v/>
      </c>
      <c r="K23" s="37" t="str">
        <f>_xlfn.LET(_xlpm.x,INDEX(EnterData_8[Competencies],MATCH(J23,EnterData_8[Competency Num],0),1),IF(ISERROR(_xlpm.x),"",_xlpm.x))</f>
        <v/>
      </c>
      <c r="L23" s="294"/>
      <c r="M23" s="295"/>
      <c r="N23" s="296"/>
      <c r="O23" s="296"/>
      <c r="P23" s="20"/>
      <c r="Q23" s="20"/>
      <c r="R23" s="20"/>
      <c r="S23" s="20"/>
    </row>
    <row r="24" spans="1:19" ht="43.5" x14ac:dyDescent="0.35">
      <c r="A24" s="6">
        <v>18</v>
      </c>
      <c r="B24" s="26" t="s">
        <v>39</v>
      </c>
      <c r="C24" s="7" t="s">
        <v>40</v>
      </c>
      <c r="D24" s="58"/>
      <c r="E24" s="5" t="str">
        <f>EnterData_3[[#This Row],[Essential]]&amp;""</f>
        <v>N</v>
      </c>
      <c r="F24" s="289"/>
      <c r="G24" s="53"/>
      <c r="H24" s="26" t="s">
        <v>92</v>
      </c>
      <c r="J24" s="38" t="str">
        <f>calc!E30&amp;""</f>
        <v/>
      </c>
      <c r="K24" s="37" t="str">
        <f>_xlfn.LET(_xlpm.x,INDEX(EnterData_8[Competencies],MATCH(J24,EnterData_8[Competency Num],0),1),IF(ISERROR(_xlpm.x),"",_xlpm.x))</f>
        <v/>
      </c>
      <c r="L24" s="294"/>
      <c r="M24" s="295"/>
      <c r="N24" s="296"/>
      <c r="O24" s="296"/>
      <c r="P24" s="20"/>
      <c r="Q24" s="20"/>
      <c r="R24" s="20"/>
      <c r="S24" s="20"/>
    </row>
    <row r="25" spans="1:19" ht="43.5" x14ac:dyDescent="0.35">
      <c r="A25" s="6">
        <v>19</v>
      </c>
      <c r="B25" s="26" t="s">
        <v>41</v>
      </c>
      <c r="C25" s="7" t="s">
        <v>42</v>
      </c>
      <c r="D25" s="58"/>
      <c r="E25" s="5" t="str">
        <f>EnterData_3[[#This Row],[Essential]]&amp;""</f>
        <v>Y</v>
      </c>
      <c r="F25" s="289"/>
      <c r="G25" s="53"/>
      <c r="H25" s="26" t="s">
        <v>92</v>
      </c>
      <c r="J25" s="38" t="str">
        <f>calc!E31&amp;""</f>
        <v/>
      </c>
      <c r="K25" s="37" t="str">
        <f>_xlfn.LET(_xlpm.x,INDEX(EnterData_8[Competencies],MATCH(J25,EnterData_8[Competency Num],0),1),IF(ISERROR(_xlpm.x),"",_xlpm.x))</f>
        <v/>
      </c>
      <c r="L25" s="294"/>
      <c r="M25" s="295"/>
      <c r="N25" s="296"/>
      <c r="O25" s="296"/>
      <c r="P25" s="20"/>
      <c r="Q25" s="20"/>
      <c r="R25" s="20"/>
      <c r="S25" s="20"/>
    </row>
    <row r="26" spans="1:19" ht="29" x14ac:dyDescent="0.35">
      <c r="A26" s="6">
        <v>20</v>
      </c>
      <c r="B26" s="26" t="s">
        <v>43</v>
      </c>
      <c r="C26" s="7" t="s">
        <v>44</v>
      </c>
      <c r="D26" s="58"/>
      <c r="E26" s="5" t="str">
        <f>EnterData_3[[#This Row],[Essential]]&amp;""</f>
        <v>Y</v>
      </c>
      <c r="F26" s="289"/>
      <c r="G26" s="53"/>
      <c r="H26" s="26" t="s">
        <v>92</v>
      </c>
      <c r="J26" s="38" t="str">
        <f>calc!E32&amp;""</f>
        <v/>
      </c>
      <c r="K26" s="37" t="str">
        <f>_xlfn.LET(_xlpm.x,INDEX(EnterData_8[Competencies],MATCH(J26,EnterData_8[Competency Num],0),1),IF(ISERROR(_xlpm.x),"",_xlpm.x))</f>
        <v/>
      </c>
      <c r="L26" s="294"/>
      <c r="M26" s="295"/>
      <c r="N26" s="296"/>
      <c r="O26" s="296"/>
      <c r="P26" s="20"/>
      <c r="Q26" s="20"/>
      <c r="R26" s="20"/>
      <c r="S26" s="20"/>
    </row>
    <row r="27" spans="1:19" ht="29" x14ac:dyDescent="0.35">
      <c r="A27" s="6">
        <v>21</v>
      </c>
      <c r="B27" s="26" t="s">
        <v>45</v>
      </c>
      <c r="C27" s="7" t="s">
        <v>46</v>
      </c>
      <c r="D27" s="58"/>
      <c r="E27" s="5" t="str">
        <f>EnterData_3[[#This Row],[Essential]]&amp;""</f>
        <v>Y</v>
      </c>
      <c r="F27" s="289"/>
      <c r="G27" s="53"/>
      <c r="H27" s="26" t="s">
        <v>92</v>
      </c>
      <c r="J27" s="38" t="str">
        <f>calc!E33&amp;""</f>
        <v/>
      </c>
      <c r="K27" s="37" t="str">
        <f>_xlfn.LET(_xlpm.x,INDEX(EnterData_8[Competencies],MATCH(J27,EnterData_8[Competency Num],0),1),IF(ISERROR(_xlpm.x),"",_xlpm.x))</f>
        <v/>
      </c>
      <c r="L27" s="294"/>
      <c r="M27" s="295"/>
      <c r="N27" s="296"/>
      <c r="O27" s="296"/>
      <c r="P27" s="20"/>
      <c r="Q27" s="20"/>
      <c r="R27" s="20"/>
      <c r="S27" s="20"/>
    </row>
    <row r="28" spans="1:19" ht="43.5" x14ac:dyDescent="0.35">
      <c r="A28" s="6">
        <v>22</v>
      </c>
      <c r="B28" s="26" t="s">
        <v>47</v>
      </c>
      <c r="C28" s="7" t="s">
        <v>48</v>
      </c>
      <c r="D28" s="58"/>
      <c r="E28" s="5" t="str">
        <f>EnterData_3[[#This Row],[Essential]]&amp;""</f>
        <v>Y</v>
      </c>
      <c r="F28" s="289"/>
      <c r="G28" s="53"/>
      <c r="H28" s="26" t="s">
        <v>92</v>
      </c>
      <c r="J28" s="38" t="str">
        <f>calc!E34&amp;""</f>
        <v/>
      </c>
      <c r="K28" s="37" t="str">
        <f>_xlfn.LET(_xlpm.x,INDEX(EnterData_8[Competencies],MATCH(J28,EnterData_8[Competency Num],0),1),IF(ISERROR(_xlpm.x),"",_xlpm.x))</f>
        <v/>
      </c>
      <c r="L28" s="294"/>
      <c r="M28" s="295"/>
      <c r="N28" s="296"/>
      <c r="O28" s="296"/>
      <c r="P28" s="20"/>
      <c r="Q28" s="20"/>
      <c r="R28" s="20"/>
      <c r="S28" s="20"/>
    </row>
    <row r="29" spans="1:19" ht="43.5" x14ac:dyDescent="0.35">
      <c r="A29" s="6">
        <v>23</v>
      </c>
      <c r="B29" s="322" t="s">
        <v>49</v>
      </c>
      <c r="C29" s="323" t="s">
        <v>50</v>
      </c>
      <c r="D29" s="299"/>
      <c r="E29" s="300" t="str">
        <f>EnterData_3[[#This Row],[Essential]]&amp;""</f>
        <v>Y</v>
      </c>
      <c r="F29" s="301"/>
      <c r="G29" s="302"/>
      <c r="H29" s="26" t="s">
        <v>92</v>
      </c>
      <c r="J29" s="38" t="str">
        <f>calc!E35&amp;""</f>
        <v/>
      </c>
      <c r="K29" s="37" t="str">
        <f>_xlfn.LET(_xlpm.x,INDEX(EnterData_8[Competencies],MATCH(J29,EnterData_8[Competency Num],0),1),IF(ISERROR(_xlpm.x),"",_xlpm.x))</f>
        <v/>
      </c>
      <c r="L29" s="294"/>
      <c r="M29" s="295"/>
      <c r="N29" s="296"/>
      <c r="O29" s="296"/>
      <c r="P29" s="20"/>
      <c r="Q29" s="20"/>
      <c r="R29" s="20"/>
      <c r="S29" s="20"/>
    </row>
    <row r="30" spans="1:19" ht="29" x14ac:dyDescent="0.35">
      <c r="A30" s="8">
        <v>24</v>
      </c>
      <c r="B30" s="321" t="s">
        <v>51</v>
      </c>
      <c r="C30" s="21" t="s">
        <v>52</v>
      </c>
      <c r="D30" s="57"/>
      <c r="E30" s="2" t="str">
        <f>EnterData_3[[#This Row],[Essential]]&amp;""</f>
        <v>N</v>
      </c>
      <c r="F30" s="288"/>
      <c r="G30" s="318"/>
      <c r="H30" s="27" t="s">
        <v>93</v>
      </c>
      <c r="J30" s="38" t="str">
        <f>calc!E36&amp;""</f>
        <v/>
      </c>
      <c r="K30" s="37" t="str">
        <f>_xlfn.LET(_xlpm.x,INDEX(EnterData_8[Competencies],MATCH(J30,EnterData_8[Competency Num],0),1),IF(ISERROR(_xlpm.x),"",_xlpm.x))</f>
        <v/>
      </c>
      <c r="L30" s="294"/>
      <c r="M30" s="295"/>
      <c r="N30" s="296"/>
      <c r="O30" s="296"/>
      <c r="P30" s="20"/>
      <c r="Q30" s="20"/>
      <c r="R30" s="20"/>
      <c r="S30" s="20"/>
    </row>
    <row r="31" spans="1:19" ht="43.5" x14ac:dyDescent="0.35">
      <c r="A31" s="8">
        <v>25</v>
      </c>
      <c r="B31" s="27" t="s">
        <v>53</v>
      </c>
      <c r="C31" s="4" t="s">
        <v>54</v>
      </c>
      <c r="D31" s="58"/>
      <c r="E31" s="5" t="str">
        <f>EnterData_3[[#This Row],[Essential]]&amp;""</f>
        <v>Y</v>
      </c>
      <c r="F31" s="289"/>
      <c r="G31" s="53"/>
      <c r="H31" s="27" t="s">
        <v>93</v>
      </c>
      <c r="J31" s="38" t="str">
        <f>calc!E37&amp;""</f>
        <v/>
      </c>
      <c r="K31" s="37" t="str">
        <f>_xlfn.LET(_xlpm.x,INDEX(EnterData_8[Competencies],MATCH(J31,EnterData_8[Competency Num],0),1),IF(ISERROR(_xlpm.x),"",_xlpm.x))</f>
        <v/>
      </c>
      <c r="L31" s="294"/>
      <c r="M31" s="295"/>
      <c r="N31" s="296"/>
      <c r="O31" s="296"/>
      <c r="P31" s="20"/>
      <c r="Q31" s="20"/>
      <c r="R31" s="20"/>
      <c r="S31" s="20"/>
    </row>
    <row r="32" spans="1:19" ht="29" x14ac:dyDescent="0.35">
      <c r="A32" s="8">
        <v>26</v>
      </c>
      <c r="B32" s="27" t="s">
        <v>55</v>
      </c>
      <c r="C32" s="4" t="s">
        <v>56</v>
      </c>
      <c r="D32" s="58"/>
      <c r="E32" s="5" t="str">
        <f>EnterData_3[[#This Row],[Essential]]&amp;""</f>
        <v>Y</v>
      </c>
      <c r="F32" s="289"/>
      <c r="G32" s="53"/>
      <c r="H32" s="27" t="s">
        <v>93</v>
      </c>
      <c r="J32" s="38" t="str">
        <f>calc!E38&amp;""</f>
        <v/>
      </c>
      <c r="K32" s="37" t="str">
        <f>_xlfn.LET(_xlpm.x,INDEX(EnterData_8[Competencies],MATCH(J32,EnterData_8[Competency Num],0),1),IF(ISERROR(_xlpm.x),"",_xlpm.x))</f>
        <v/>
      </c>
      <c r="L32" s="294"/>
      <c r="M32" s="295"/>
      <c r="N32" s="296"/>
      <c r="O32" s="296"/>
      <c r="P32" s="20"/>
      <c r="Q32" s="20"/>
      <c r="R32" s="20"/>
      <c r="S32" s="20"/>
    </row>
    <row r="33" spans="1:19" ht="29" x14ac:dyDescent="0.35">
      <c r="A33" s="8">
        <v>27</v>
      </c>
      <c r="B33" s="27" t="s">
        <v>57</v>
      </c>
      <c r="C33" s="4" t="s">
        <v>58</v>
      </c>
      <c r="D33" s="58"/>
      <c r="E33" s="5" t="str">
        <f>EnterData_3[[#This Row],[Essential]]&amp;""</f>
        <v>Y</v>
      </c>
      <c r="F33" s="289"/>
      <c r="G33" s="53"/>
      <c r="H33" s="27" t="s">
        <v>93</v>
      </c>
      <c r="J33" s="38" t="str">
        <f>calc!E39&amp;""</f>
        <v/>
      </c>
      <c r="K33" s="37" t="str">
        <f>_xlfn.LET(_xlpm.x,INDEX(EnterData_8[Competencies],MATCH(J33,EnterData_8[Competency Num],0),1),IF(ISERROR(_xlpm.x),"",_xlpm.x))</f>
        <v/>
      </c>
      <c r="L33" s="294"/>
      <c r="M33" s="295"/>
      <c r="N33" s="296"/>
      <c r="O33" s="296"/>
      <c r="P33" s="20"/>
      <c r="Q33" s="20"/>
      <c r="R33" s="20"/>
      <c r="S33" s="20"/>
    </row>
    <row r="34" spans="1:19" ht="29" x14ac:dyDescent="0.35">
      <c r="A34" s="8">
        <v>28</v>
      </c>
      <c r="B34" s="27" t="s">
        <v>59</v>
      </c>
      <c r="C34" s="4" t="s">
        <v>60</v>
      </c>
      <c r="D34" s="58"/>
      <c r="E34" s="5" t="str">
        <f>EnterData_3[[#This Row],[Essential]]&amp;""</f>
        <v>Y</v>
      </c>
      <c r="F34" s="289"/>
      <c r="G34" s="53"/>
      <c r="H34" s="27" t="s">
        <v>93</v>
      </c>
      <c r="J34" s="38" t="str">
        <f>calc!E40&amp;""</f>
        <v/>
      </c>
      <c r="K34" s="37" t="str">
        <f>_xlfn.LET(_xlpm.x,INDEX(EnterData_8[Competencies],MATCH(J34,EnterData_8[Competency Num],0),1),IF(ISERROR(_xlpm.x),"",_xlpm.x))</f>
        <v/>
      </c>
      <c r="L34" s="294"/>
      <c r="M34" s="295"/>
      <c r="N34" s="296"/>
      <c r="O34" s="296"/>
      <c r="P34" s="20"/>
      <c r="Q34" s="20"/>
      <c r="R34" s="20"/>
      <c r="S34" s="20"/>
    </row>
    <row r="35" spans="1:19" ht="58" x14ac:dyDescent="0.35">
      <c r="A35" s="8">
        <v>29</v>
      </c>
      <c r="B35" s="27" t="s">
        <v>61</v>
      </c>
      <c r="C35" s="4" t="s">
        <v>62</v>
      </c>
      <c r="D35" s="58"/>
      <c r="E35" s="5" t="str">
        <f>EnterData_3[[#This Row],[Essential]]&amp;""</f>
        <v>Y</v>
      </c>
      <c r="F35" s="289"/>
      <c r="G35" s="53"/>
      <c r="H35" s="27" t="s">
        <v>93</v>
      </c>
      <c r="J35" s="38" t="str">
        <f>calc!E41&amp;""</f>
        <v/>
      </c>
      <c r="K35" s="37" t="str">
        <f>_xlfn.LET(_xlpm.x,INDEX(EnterData_8[Competencies],MATCH(J35,EnterData_8[Competency Num],0),1),IF(ISERROR(_xlpm.x),"",_xlpm.x))</f>
        <v/>
      </c>
      <c r="L35" s="294"/>
      <c r="M35" s="295"/>
      <c r="N35" s="296"/>
      <c r="O35" s="296"/>
      <c r="P35" s="20"/>
      <c r="Q35" s="20"/>
      <c r="R35" s="20"/>
      <c r="S35" s="20"/>
    </row>
    <row r="36" spans="1:19" ht="43.5" x14ac:dyDescent="0.35">
      <c r="A36" s="8">
        <v>30</v>
      </c>
      <c r="B36" s="27" t="s">
        <v>63</v>
      </c>
      <c r="C36" s="4" t="s">
        <v>64</v>
      </c>
      <c r="D36" s="58"/>
      <c r="E36" s="5" t="str">
        <f>EnterData_3[[#This Row],[Essential]]&amp;""</f>
        <v>Y</v>
      </c>
      <c r="F36" s="289"/>
      <c r="G36" s="53"/>
      <c r="H36" s="27" t="s">
        <v>93</v>
      </c>
      <c r="J36" s="38" t="str">
        <f>calc!E42&amp;""</f>
        <v/>
      </c>
      <c r="K36" s="37" t="str">
        <f>_xlfn.LET(_xlpm.x,INDEX(EnterData_8[Competencies],MATCH(J36,EnterData_8[Competency Num],0),1),IF(ISERROR(_xlpm.x),"",_xlpm.x))</f>
        <v/>
      </c>
      <c r="L36" s="294"/>
      <c r="M36" s="295"/>
      <c r="N36" s="296"/>
      <c r="O36" s="296"/>
      <c r="P36" s="20"/>
      <c r="Q36" s="20"/>
      <c r="R36" s="20"/>
      <c r="S36" s="20"/>
    </row>
    <row r="37" spans="1:19" ht="43.5" x14ac:dyDescent="0.35">
      <c r="A37" s="8">
        <v>31</v>
      </c>
      <c r="B37" s="27" t="s">
        <v>65</v>
      </c>
      <c r="C37" s="4" t="s">
        <v>66</v>
      </c>
      <c r="D37" s="58"/>
      <c r="E37" s="5" t="str">
        <f>EnterData_3[[#This Row],[Essential]]&amp;""</f>
        <v>Y</v>
      </c>
      <c r="F37" s="289"/>
      <c r="G37" s="53"/>
      <c r="H37" s="27" t="s">
        <v>93</v>
      </c>
      <c r="J37" s="38" t="str">
        <f>calc!E43&amp;""</f>
        <v/>
      </c>
      <c r="K37" s="37" t="str">
        <f>_xlfn.LET(_xlpm.x,INDEX(EnterData_8[Competencies],MATCH(J37,EnterData_8[Competency Num],0),1),IF(ISERROR(_xlpm.x),"",_xlpm.x))</f>
        <v/>
      </c>
      <c r="L37" s="294"/>
      <c r="M37" s="295"/>
      <c r="N37" s="296"/>
      <c r="O37" s="296"/>
      <c r="P37" s="20"/>
      <c r="Q37" s="20"/>
      <c r="R37" s="20"/>
      <c r="S37" s="20"/>
    </row>
    <row r="38" spans="1:19" ht="58" x14ac:dyDescent="0.35">
      <c r="A38" s="8">
        <v>32</v>
      </c>
      <c r="B38" s="27" t="s">
        <v>67</v>
      </c>
      <c r="C38" s="4" t="s">
        <v>68</v>
      </c>
      <c r="D38" s="58"/>
      <c r="E38" s="5" t="str">
        <f>EnterData_3[[#This Row],[Essential]]&amp;""</f>
        <v>Y</v>
      </c>
      <c r="F38" s="289"/>
      <c r="G38" s="53"/>
      <c r="H38" s="27" t="s">
        <v>93</v>
      </c>
      <c r="J38" s="38" t="str">
        <f>calc!E44&amp;""</f>
        <v/>
      </c>
      <c r="K38" s="37" t="str">
        <f>_xlfn.LET(_xlpm.x,INDEX(EnterData_8[Competencies],MATCH(J38,EnterData_8[Competency Num],0),1),IF(ISERROR(_xlpm.x),"",_xlpm.x))</f>
        <v/>
      </c>
      <c r="L38" s="294"/>
      <c r="M38" s="295"/>
      <c r="N38" s="296"/>
      <c r="O38" s="296"/>
      <c r="P38" s="20"/>
      <c r="Q38" s="20"/>
      <c r="R38" s="20"/>
      <c r="S38" s="20"/>
    </row>
    <row r="39" spans="1:19" ht="43.5" x14ac:dyDescent="0.35">
      <c r="A39" s="8">
        <v>33</v>
      </c>
      <c r="B39" s="27" t="s">
        <v>69</v>
      </c>
      <c r="C39" s="4" t="s">
        <v>70</v>
      </c>
      <c r="D39" s="58"/>
      <c r="E39" s="5" t="str">
        <f>EnterData_3[[#This Row],[Essential]]&amp;""</f>
        <v>Y</v>
      </c>
      <c r="F39" s="289"/>
      <c r="G39" s="53"/>
      <c r="H39" s="27" t="s">
        <v>93</v>
      </c>
      <c r="J39" s="38" t="str">
        <f>calc!E45&amp;""</f>
        <v/>
      </c>
      <c r="K39" s="37" t="str">
        <f>_xlfn.LET(_xlpm.x,INDEX(EnterData_8[Competencies],MATCH(J39,EnterData_8[Competency Num],0),1),IF(ISERROR(_xlpm.x),"",_xlpm.x))</f>
        <v/>
      </c>
      <c r="L39" s="294"/>
      <c r="M39" s="295"/>
      <c r="N39" s="296"/>
      <c r="O39" s="296"/>
      <c r="P39" s="20"/>
      <c r="Q39" s="20"/>
      <c r="R39" s="20"/>
      <c r="S39" s="20"/>
    </row>
    <row r="40" spans="1:19" ht="43.5" x14ac:dyDescent="0.35">
      <c r="A40" s="8">
        <v>34</v>
      </c>
      <c r="B40" s="27" t="s">
        <v>71</v>
      </c>
      <c r="C40" s="4" t="s">
        <v>72</v>
      </c>
      <c r="D40" s="58"/>
      <c r="E40" s="5" t="str">
        <f>EnterData_3[[#This Row],[Essential]]&amp;""</f>
        <v>Y</v>
      </c>
      <c r="F40" s="289"/>
      <c r="G40" s="53"/>
      <c r="H40" s="27" t="s">
        <v>93</v>
      </c>
      <c r="J40" s="38" t="str">
        <f>calc!E46&amp;""</f>
        <v/>
      </c>
      <c r="K40" s="37" t="str">
        <f>_xlfn.LET(_xlpm.x,INDEX(EnterData_8[Competencies],MATCH(J40,EnterData_8[Competency Num],0),1),IF(ISERROR(_xlpm.x),"",_xlpm.x))</f>
        <v/>
      </c>
      <c r="L40" s="294"/>
      <c r="M40" s="295"/>
      <c r="N40" s="296"/>
      <c r="O40" s="296"/>
      <c r="P40" s="20"/>
      <c r="Q40" s="20"/>
      <c r="R40" s="20"/>
      <c r="S40" s="20"/>
    </row>
    <row r="41" spans="1:19" ht="29" x14ac:dyDescent="0.35">
      <c r="A41" s="8">
        <v>35</v>
      </c>
      <c r="B41" s="27" t="s">
        <v>73</v>
      </c>
      <c r="C41" s="4" t="s">
        <v>74</v>
      </c>
      <c r="D41" s="58"/>
      <c r="E41" s="5" t="str">
        <f>EnterData_3[[#This Row],[Essential]]&amp;""</f>
        <v>Y</v>
      </c>
      <c r="F41" s="289"/>
      <c r="G41" s="53"/>
      <c r="H41" s="27" t="s">
        <v>93</v>
      </c>
      <c r="J41" s="38" t="str">
        <f>calc!E47&amp;""</f>
        <v/>
      </c>
      <c r="K41" s="37" t="str">
        <f>_xlfn.LET(_xlpm.x,INDEX(EnterData_8[Competencies],MATCH(J41,EnterData_8[Competency Num],0),1),IF(ISERROR(_xlpm.x),"",_xlpm.x))</f>
        <v/>
      </c>
      <c r="L41" s="294"/>
      <c r="M41" s="295"/>
      <c r="N41" s="296"/>
      <c r="O41" s="296"/>
      <c r="P41" s="20"/>
      <c r="Q41" s="20"/>
      <c r="R41" s="20"/>
      <c r="S41" s="20"/>
    </row>
    <row r="42" spans="1:19" ht="43.5" x14ac:dyDescent="0.35">
      <c r="A42" s="9">
        <v>36</v>
      </c>
      <c r="B42" s="29" t="s">
        <v>75</v>
      </c>
      <c r="C42" s="42" t="s">
        <v>76</v>
      </c>
      <c r="D42" s="59"/>
      <c r="E42" s="30" t="str">
        <f>EnterData_3[[#This Row],[Essential]]&amp;""</f>
        <v>N</v>
      </c>
      <c r="F42" s="290"/>
      <c r="G42" s="54"/>
      <c r="H42" s="29" t="s">
        <v>93</v>
      </c>
      <c r="J42" s="38" t="str">
        <f>calc!E48&amp;""</f>
        <v/>
      </c>
      <c r="K42" s="37" t="str">
        <f>_xlfn.LET(_xlpm.x,INDEX(EnterData_8[Competencies],MATCH(J42,EnterData_8[Competency Num],0),1),IF(ISERROR(_xlpm.x),"",_xlpm.x))</f>
        <v/>
      </c>
      <c r="L42" s="294"/>
      <c r="M42" s="295"/>
      <c r="N42" s="296"/>
      <c r="O42" s="296"/>
      <c r="P42" s="20"/>
      <c r="Q42" s="20"/>
      <c r="R42" s="20"/>
      <c r="S42" s="20"/>
    </row>
    <row r="43" spans="1:19" x14ac:dyDescent="0.35">
      <c r="A43" s="20"/>
      <c r="B43" s="55"/>
      <c r="C43" s="51"/>
      <c r="D43" s="10"/>
      <c r="E43" s="10"/>
      <c r="F43" s="20"/>
      <c r="G43" s="20"/>
      <c r="H43" s="20"/>
      <c r="I43" s="20"/>
      <c r="J43" s="20"/>
      <c r="K43" s="20"/>
      <c r="L43" s="20"/>
      <c r="M43" s="20"/>
      <c r="N43" s="20"/>
      <c r="O43" s="20"/>
      <c r="P43" s="20"/>
      <c r="Q43" s="20"/>
      <c r="R43" s="20"/>
      <c r="S43" s="20"/>
    </row>
    <row r="44" spans="1:19" x14ac:dyDescent="0.35">
      <c r="A44" s="20"/>
      <c r="B44" s="56" t="s">
        <v>77</v>
      </c>
      <c r="C44" s="74" t="s">
        <v>78</v>
      </c>
      <c r="D44" s="11" t="s">
        <v>79</v>
      </c>
      <c r="E44" s="65" t="s">
        <v>80</v>
      </c>
      <c r="F44" s="65"/>
      <c r="G44" s="20"/>
      <c r="H44" s="20"/>
      <c r="I44" s="20"/>
      <c r="J44" s="20"/>
      <c r="K44" s="20"/>
      <c r="L44" s="20"/>
      <c r="M44" s="20"/>
      <c r="N44" s="20"/>
      <c r="O44" s="20"/>
      <c r="P44" s="20"/>
      <c r="Q44" s="20"/>
      <c r="R44" s="20"/>
      <c r="S44" s="20"/>
    </row>
    <row r="45" spans="1:19" x14ac:dyDescent="0.35">
      <c r="A45" s="20"/>
      <c r="B45" s="23" t="s">
        <v>89</v>
      </c>
      <c r="C45" s="75" t="s">
        <v>191</v>
      </c>
      <c r="D45" s="12" cm="1">
        <f t="array" ref="D45:D47">_xlfn.ANCHORARRAY(D50)+_xlfn.ANCHORARRAY(D55)+_xlfn.ANCHORARRAY(D60)</f>
        <v>0</v>
      </c>
      <c r="E45" s="66" cm="1">
        <f t="array" ref="E45:E47">_xlfn.ANCHORARRAY(E50)+_xlfn.ANCHORARRAY(E55)+_xlfn.ANCHORARRAY(E60)</f>
        <v>0</v>
      </c>
      <c r="F45" s="66"/>
      <c r="G45" s="20"/>
      <c r="H45" s="20"/>
      <c r="I45" s="20"/>
      <c r="J45" s="20"/>
      <c r="K45" s="20"/>
      <c r="L45" s="20"/>
      <c r="M45" s="20"/>
      <c r="N45" s="20"/>
      <c r="O45" s="20"/>
      <c r="P45" s="20"/>
      <c r="Q45" s="20"/>
      <c r="R45" s="20"/>
      <c r="S45" s="20"/>
    </row>
    <row r="46" spans="1:19" x14ac:dyDescent="0.35">
      <c r="A46" s="20"/>
      <c r="B46" s="23" t="s">
        <v>88</v>
      </c>
      <c r="C46" s="76" t="s">
        <v>193</v>
      </c>
      <c r="D46" s="13">
        <v>0</v>
      </c>
      <c r="E46" s="67">
        <v>0</v>
      </c>
      <c r="F46" s="67"/>
      <c r="G46" s="20"/>
      <c r="H46" s="20"/>
      <c r="I46" s="20"/>
      <c r="J46" s="20"/>
      <c r="K46" s="20"/>
      <c r="L46" s="20"/>
      <c r="M46" s="20"/>
      <c r="N46" s="20"/>
      <c r="O46" s="20"/>
      <c r="P46" s="20"/>
      <c r="Q46" s="20"/>
      <c r="R46" s="20"/>
      <c r="S46" s="20"/>
    </row>
    <row r="47" spans="1:19" x14ac:dyDescent="0.35">
      <c r="A47" s="20"/>
      <c r="B47" s="23" t="s">
        <v>87</v>
      </c>
      <c r="C47" s="77" t="s">
        <v>195</v>
      </c>
      <c r="D47" s="14">
        <v>0</v>
      </c>
      <c r="E47" s="68">
        <v>0</v>
      </c>
      <c r="F47" s="68"/>
      <c r="G47" s="20"/>
      <c r="H47" s="20"/>
      <c r="I47" s="20"/>
      <c r="J47" s="20"/>
      <c r="K47" s="20"/>
      <c r="L47" s="20"/>
      <c r="M47" s="20"/>
      <c r="N47" s="20"/>
      <c r="O47" s="20"/>
      <c r="P47" s="20"/>
      <c r="Q47" s="20"/>
      <c r="R47" s="20"/>
      <c r="S47" s="20"/>
    </row>
    <row r="48" spans="1:19" x14ac:dyDescent="0.35">
      <c r="A48" s="20"/>
      <c r="B48" s="15"/>
      <c r="C48" s="78"/>
      <c r="D48" s="15"/>
      <c r="E48" s="69"/>
      <c r="F48" s="69"/>
      <c r="G48" s="20"/>
      <c r="H48" s="20"/>
      <c r="I48" s="20"/>
      <c r="J48" s="20"/>
      <c r="K48" s="20"/>
      <c r="L48" s="20"/>
      <c r="M48" s="20"/>
      <c r="N48" s="20"/>
      <c r="O48" s="20"/>
      <c r="P48" s="20"/>
      <c r="Q48" s="20"/>
      <c r="R48" s="20"/>
      <c r="S48" s="20"/>
    </row>
    <row r="49" spans="1:19" x14ac:dyDescent="0.35">
      <c r="A49" s="20"/>
      <c r="B49" s="15"/>
      <c r="C49" s="79" t="s">
        <v>81</v>
      </c>
      <c r="D49" s="16" t="s">
        <v>79</v>
      </c>
      <c r="E49" s="70" t="s">
        <v>80</v>
      </c>
      <c r="F49" s="70"/>
      <c r="G49" s="20"/>
      <c r="H49" s="20"/>
      <c r="I49" s="20"/>
      <c r="J49" s="20"/>
      <c r="K49" s="20"/>
      <c r="L49" s="20"/>
      <c r="M49" s="20"/>
      <c r="N49" s="20"/>
      <c r="O49" s="20"/>
      <c r="P49" s="20"/>
      <c r="Q49" s="20"/>
      <c r="R49" s="20"/>
      <c r="S49" s="20"/>
    </row>
    <row r="50" spans="1:19" x14ac:dyDescent="0.35">
      <c r="A50" s="20"/>
      <c r="B50" s="15"/>
      <c r="C50" s="75" t="s">
        <v>191</v>
      </c>
      <c r="D50" s="12" cm="1">
        <f t="array" ref="D50:D52">COUNTIFS(D$7:D$42,$B$45:$B$47,EnterData_4[Component],"FD")</f>
        <v>0</v>
      </c>
      <c r="E50" s="66" cm="1">
        <f t="array" ref="E50:E52">COUNTIFS(D$7:D$42,$B$45:$B$47,EnterData_4[Component],"FD",E$7:E$42,"Y")</f>
        <v>0</v>
      </c>
      <c r="F50" s="66"/>
      <c r="G50" s="20"/>
      <c r="H50" s="20"/>
      <c r="I50" s="20"/>
      <c r="J50" s="20"/>
      <c r="K50" s="20"/>
      <c r="L50" s="20"/>
      <c r="M50" s="20"/>
      <c r="N50" s="20"/>
      <c r="O50" s="20"/>
      <c r="P50" s="20"/>
      <c r="Q50" s="20"/>
      <c r="R50" s="20"/>
      <c r="S50" s="20"/>
    </row>
    <row r="51" spans="1:19" x14ac:dyDescent="0.35">
      <c r="A51" s="20"/>
      <c r="B51" s="15"/>
      <c r="C51" s="76" t="s">
        <v>193</v>
      </c>
      <c r="D51" s="13">
        <v>0</v>
      </c>
      <c r="E51" s="67">
        <v>0</v>
      </c>
      <c r="F51" s="67"/>
      <c r="G51" s="20"/>
      <c r="H51" s="20"/>
      <c r="I51" s="20"/>
      <c r="J51" s="20"/>
      <c r="K51" s="20"/>
      <c r="L51" s="20"/>
      <c r="M51" s="20"/>
      <c r="N51" s="20"/>
      <c r="O51" s="20"/>
      <c r="P51" s="20"/>
      <c r="Q51" s="20"/>
      <c r="R51" s="20"/>
      <c r="S51" s="20"/>
    </row>
    <row r="52" spans="1:19" x14ac:dyDescent="0.35">
      <c r="A52" s="20"/>
      <c r="B52" s="15"/>
      <c r="C52" s="77" t="s">
        <v>195</v>
      </c>
      <c r="D52" s="14">
        <v>0</v>
      </c>
      <c r="E52" s="68">
        <v>0</v>
      </c>
      <c r="F52" s="68"/>
      <c r="G52" s="20"/>
      <c r="H52" s="20"/>
      <c r="I52" s="20"/>
      <c r="J52" s="20"/>
      <c r="K52" s="20"/>
      <c r="L52" s="20"/>
      <c r="M52" s="20"/>
      <c r="N52" s="20"/>
      <c r="O52" s="20"/>
      <c r="P52" s="20"/>
      <c r="Q52" s="20"/>
      <c r="R52" s="20"/>
      <c r="S52" s="20"/>
    </row>
    <row r="53" spans="1:19" x14ac:dyDescent="0.35">
      <c r="A53" s="20"/>
      <c r="B53" s="15"/>
      <c r="C53" s="78"/>
      <c r="D53" s="15"/>
      <c r="E53" s="69"/>
      <c r="F53" s="69"/>
      <c r="G53" s="20"/>
      <c r="H53" s="20"/>
      <c r="I53" s="20"/>
      <c r="J53" s="20"/>
      <c r="K53" s="20"/>
      <c r="L53" s="20"/>
      <c r="M53" s="20"/>
      <c r="N53" s="20"/>
      <c r="O53" s="20"/>
      <c r="P53" s="20"/>
      <c r="Q53" s="20"/>
      <c r="R53" s="20"/>
      <c r="S53" s="20"/>
    </row>
    <row r="54" spans="1:19" x14ac:dyDescent="0.35">
      <c r="A54" s="20"/>
      <c r="B54" s="15"/>
      <c r="C54" s="80" t="s">
        <v>82</v>
      </c>
      <c r="D54" s="17" t="s">
        <v>79</v>
      </c>
      <c r="E54" s="71" t="s">
        <v>80</v>
      </c>
      <c r="F54" s="71"/>
      <c r="G54" s="20"/>
      <c r="H54" s="20"/>
      <c r="I54" s="20"/>
      <c r="J54" s="20"/>
      <c r="K54" s="20"/>
      <c r="L54" s="20"/>
      <c r="M54" s="20"/>
      <c r="N54" s="20"/>
      <c r="O54" s="20"/>
      <c r="P54" s="20"/>
      <c r="Q54" s="20"/>
      <c r="R54" s="20"/>
      <c r="S54" s="20"/>
    </row>
    <row r="55" spans="1:19" x14ac:dyDescent="0.35">
      <c r="A55" s="20"/>
      <c r="B55" s="15"/>
      <c r="C55" s="75" t="s">
        <v>191</v>
      </c>
      <c r="D55" s="12" cm="1">
        <f t="array" ref="D55:D57">COUNTIFS(D$7:D$42,$B$45:$B$47,EnterData_4[Component],"IN")</f>
        <v>0</v>
      </c>
      <c r="E55" s="66" cm="1">
        <f t="array" ref="E55:E57">COUNTIFS(D$7:D$42,$B$45:$B$47,EnterData_4[Component],"IN",E$7:E$42,"Y")</f>
        <v>0</v>
      </c>
      <c r="F55" s="66"/>
      <c r="G55" s="20"/>
      <c r="H55" s="20"/>
      <c r="I55" s="20"/>
      <c r="J55" s="20"/>
      <c r="K55" s="20"/>
      <c r="L55" s="20"/>
      <c r="M55" s="20"/>
      <c r="N55" s="20"/>
      <c r="O55" s="20"/>
      <c r="P55" s="20"/>
      <c r="Q55" s="20"/>
      <c r="R55" s="20"/>
      <c r="S55" s="20"/>
    </row>
    <row r="56" spans="1:19" x14ac:dyDescent="0.35">
      <c r="A56" s="20"/>
      <c r="B56" s="15"/>
      <c r="C56" s="76" t="s">
        <v>193</v>
      </c>
      <c r="D56" s="13">
        <v>0</v>
      </c>
      <c r="E56" s="67">
        <v>0</v>
      </c>
      <c r="F56" s="67"/>
      <c r="G56" s="20"/>
      <c r="H56" s="20"/>
      <c r="I56" s="20"/>
      <c r="J56" s="20"/>
      <c r="K56" s="20"/>
      <c r="L56" s="20"/>
      <c r="M56" s="20"/>
      <c r="N56" s="20"/>
      <c r="O56" s="20"/>
      <c r="P56" s="20"/>
      <c r="Q56" s="20"/>
      <c r="R56" s="20"/>
      <c r="S56" s="20"/>
    </row>
    <row r="57" spans="1:19" x14ac:dyDescent="0.35">
      <c r="A57" s="20"/>
      <c r="B57" s="15"/>
      <c r="C57" s="77" t="s">
        <v>195</v>
      </c>
      <c r="D57" s="14">
        <v>0</v>
      </c>
      <c r="E57" s="68">
        <v>0</v>
      </c>
      <c r="F57" s="68"/>
      <c r="G57" s="20"/>
      <c r="H57" s="20"/>
      <c r="I57" s="20"/>
      <c r="J57" s="20"/>
      <c r="K57" s="20"/>
      <c r="L57" s="20"/>
      <c r="M57" s="20"/>
      <c r="N57" s="20"/>
      <c r="O57" s="20"/>
      <c r="P57" s="20"/>
      <c r="Q57" s="20"/>
      <c r="R57" s="20"/>
      <c r="S57" s="20"/>
    </row>
    <row r="58" spans="1:19" x14ac:dyDescent="0.35">
      <c r="A58" s="20"/>
      <c r="B58" s="15"/>
      <c r="C58" s="78"/>
      <c r="D58" s="15"/>
      <c r="E58" s="69"/>
      <c r="F58" s="69"/>
      <c r="G58" s="20"/>
      <c r="H58" s="20"/>
      <c r="I58" s="20"/>
      <c r="J58" s="20"/>
      <c r="K58" s="20"/>
      <c r="L58" s="20"/>
      <c r="M58" s="20"/>
      <c r="N58" s="20"/>
      <c r="O58" s="20"/>
      <c r="P58" s="20"/>
      <c r="Q58" s="20"/>
      <c r="R58" s="20"/>
      <c r="S58" s="20"/>
    </row>
    <row r="59" spans="1:19" x14ac:dyDescent="0.35">
      <c r="A59" s="20"/>
      <c r="B59" s="15"/>
      <c r="C59" s="81" t="s">
        <v>83</v>
      </c>
      <c r="D59" s="18" t="s">
        <v>79</v>
      </c>
      <c r="E59" s="72" t="s">
        <v>80</v>
      </c>
      <c r="F59" s="72"/>
      <c r="G59" s="20"/>
      <c r="H59" s="20"/>
      <c r="I59" s="20"/>
      <c r="J59" s="20"/>
      <c r="K59" s="20"/>
      <c r="L59" s="20"/>
      <c r="M59" s="20"/>
      <c r="N59" s="20"/>
      <c r="O59" s="20"/>
      <c r="P59" s="20"/>
      <c r="Q59" s="20"/>
      <c r="R59" s="20"/>
      <c r="S59" s="20"/>
    </row>
    <row r="60" spans="1:19" x14ac:dyDescent="0.35">
      <c r="A60" s="20"/>
      <c r="B60" s="15"/>
      <c r="C60" s="75" t="s">
        <v>191</v>
      </c>
      <c r="D60" s="19" cm="1">
        <f t="array" ref="D60:D62">COUNTIFS(D$7:D$42,$B$45:$B$47,EnterData_4[Component],"DC")</f>
        <v>0</v>
      </c>
      <c r="E60" s="73" cm="1">
        <f t="array" ref="E60:E62">COUNTIFS(D$7:D$42,$B$45:$B$47,EnterData_4[Component],"DC",E$7:E$42,"Y")</f>
        <v>0</v>
      </c>
      <c r="F60" s="73"/>
      <c r="G60" s="20"/>
      <c r="H60" s="20"/>
      <c r="I60" s="20"/>
      <c r="J60" s="20"/>
      <c r="K60" s="20"/>
      <c r="L60" s="20"/>
      <c r="M60" s="20"/>
      <c r="N60" s="20"/>
      <c r="O60" s="20"/>
      <c r="P60" s="20"/>
      <c r="Q60" s="20"/>
      <c r="R60" s="20"/>
      <c r="S60" s="20"/>
    </row>
    <row r="61" spans="1:19" x14ac:dyDescent="0.35">
      <c r="A61" s="20"/>
      <c r="B61" s="15"/>
      <c r="C61" s="76" t="s">
        <v>193</v>
      </c>
      <c r="D61" s="13">
        <v>0</v>
      </c>
      <c r="E61" s="67">
        <v>0</v>
      </c>
      <c r="F61" s="67"/>
      <c r="G61" s="20"/>
      <c r="H61" s="20"/>
      <c r="I61" s="20"/>
      <c r="J61" s="20"/>
      <c r="K61" s="20"/>
      <c r="L61" s="20"/>
      <c r="M61" s="20"/>
      <c r="N61" s="20"/>
      <c r="O61" s="20"/>
      <c r="P61" s="20"/>
      <c r="Q61" s="20"/>
      <c r="R61" s="20"/>
      <c r="S61" s="20"/>
    </row>
    <row r="62" spans="1:19" x14ac:dyDescent="0.35">
      <c r="A62" s="20"/>
      <c r="B62" s="15"/>
      <c r="C62" s="77" t="s">
        <v>195</v>
      </c>
      <c r="D62" s="14">
        <v>0</v>
      </c>
      <c r="E62" s="68">
        <v>0</v>
      </c>
      <c r="F62" s="68"/>
      <c r="G62" s="20"/>
      <c r="H62" s="20"/>
      <c r="I62" s="20"/>
      <c r="J62" s="20"/>
      <c r="K62" s="20"/>
      <c r="L62" s="20"/>
      <c r="M62" s="20"/>
      <c r="N62" s="20"/>
      <c r="O62" s="20"/>
      <c r="P62" s="20"/>
      <c r="Q62" s="20"/>
      <c r="R62" s="20"/>
      <c r="S62" s="20"/>
    </row>
    <row r="63" spans="1:19" x14ac:dyDescent="0.35">
      <c r="A63" s="283" t="s">
        <v>150</v>
      </c>
      <c r="B63" s="20"/>
      <c r="C63" s="20"/>
      <c r="D63" s="20"/>
      <c r="E63" s="20"/>
      <c r="F63" s="20"/>
      <c r="G63" s="20"/>
      <c r="H63" s="20"/>
      <c r="I63" s="20"/>
      <c r="J63" s="20"/>
      <c r="K63" s="20"/>
      <c r="L63" s="20"/>
      <c r="M63" s="20"/>
      <c r="N63" s="20"/>
      <c r="O63" s="20"/>
      <c r="P63" s="20"/>
      <c r="Q63" s="20"/>
      <c r="R63" s="20"/>
      <c r="S63" s="20"/>
    </row>
    <row r="64" spans="1:19" x14ac:dyDescent="0.35">
      <c r="A64" s="20"/>
      <c r="B64" s="20"/>
      <c r="C64" s="20"/>
      <c r="D64" s="20"/>
      <c r="E64" s="20"/>
      <c r="F64" s="20"/>
      <c r="G64" s="20"/>
      <c r="H64" s="20"/>
      <c r="I64" s="20"/>
      <c r="J64" s="20"/>
      <c r="K64" s="20"/>
    </row>
    <row r="65" spans="1:11" x14ac:dyDescent="0.35">
      <c r="A65" s="20"/>
      <c r="B65" s="20"/>
      <c r="C65" s="20"/>
      <c r="D65" s="20"/>
      <c r="E65" s="20"/>
      <c r="F65" s="20"/>
      <c r="G65" s="20"/>
      <c r="H65" s="20"/>
      <c r="I65" s="20"/>
      <c r="J65" s="20"/>
      <c r="K65" s="20"/>
    </row>
    <row r="66" spans="1:11" x14ac:dyDescent="0.35">
      <c r="A66" s="20"/>
      <c r="B66" s="20"/>
      <c r="C66" s="20"/>
      <c r="D66" s="20"/>
      <c r="E66" s="20"/>
      <c r="F66" s="20"/>
      <c r="G66" s="20"/>
      <c r="H66" s="20"/>
      <c r="I66" s="20"/>
      <c r="J66" s="20"/>
      <c r="K66" s="20"/>
    </row>
  </sheetData>
  <sheetProtection sheet="1" formatCells="0" formatColumns="0" formatRows="0"/>
  <conditionalFormatting sqref="F7:F42">
    <cfRule type="expression" dxfId="91" priority="2">
      <formula>OR(D7="Min comp",D7="Comp")</formula>
    </cfRule>
  </conditionalFormatting>
  <conditionalFormatting sqref="J7:J42">
    <cfRule type="expression" dxfId="90" priority="4">
      <formula>$J7&lt;&gt;""</formula>
    </cfRule>
    <cfRule type="expression" dxfId="89" priority="8">
      <formula>LEFT($J7)="F"</formula>
    </cfRule>
    <cfRule type="expression" dxfId="88" priority="9">
      <formula>LEFT($J7)="I"</formula>
    </cfRule>
    <cfRule type="expression" dxfId="87" priority="14">
      <formula>LEFT($J7)="D"</formula>
    </cfRule>
  </conditionalFormatting>
  <conditionalFormatting sqref="J7:O42">
    <cfRule type="expression" dxfId="86" priority="5">
      <formula>AND($J7&lt;&gt;"",$J8="")</formula>
    </cfRule>
    <cfRule type="expression" dxfId="85" priority="6">
      <formula>$J7&lt;&gt;""</formula>
    </cfRule>
  </conditionalFormatting>
  <conditionalFormatting sqref="L7:O42">
    <cfRule type="expression" dxfId="84" priority="7">
      <formula>$J7&lt;&gt;""</formula>
    </cfRule>
  </conditionalFormatting>
  <conditionalFormatting sqref="O7:O42">
    <cfRule type="expression" dxfId="83" priority="3">
      <formula>$J7&lt;&gt;""</formula>
    </cfRule>
  </conditionalFormatting>
  <dataValidations count="4">
    <dataValidation type="list" allowBlank="1" showInputMessage="1" showErrorMessage="1" sqref="L7:L42" xr:uid="{906F1406-9FB0-4D37-9A99-6EB9C16A513C}">
      <formula1>"yes,no"</formula1>
    </dataValidation>
    <dataValidation type="list" allowBlank="1" showInputMessage="1" showErrorMessage="1" sqref="D7:D42" xr:uid="{99EF3945-676E-4631-BC3D-28A67886A300}">
      <formula1>"Min comp, Comp, Hi comp"</formula1>
    </dataValidation>
    <dataValidation type="list" allowBlank="1" showInputMessage="1" showErrorMessage="1" sqref="F7:F42" xr:uid="{F7A313C6-9736-4F6B-A9D5-F24A56D7A43C}">
      <formula1>"Y,N"</formula1>
    </dataValidation>
    <dataValidation type="list" allowBlank="1" showInputMessage="1" showErrorMessage="1" sqref="E7:E42" xr:uid="{9E16B4A2-059A-42E1-B5A3-4D586155EB64}">
      <formula1>"Y,N,?"</formula1>
    </dataValidation>
  </dataValidations>
  <pageMargins left="0.7" right="0.7" top="0.75" bottom="0.75" header="0.3" footer="0.3"/>
  <pageSetup scale="61" fitToHeight="0" orientation="landscape" horizontalDpi="4294967293" verticalDpi="0" r:id="rId1"/>
  <headerFooter>
    <oddHeader xml:space="preserve">&amp;LLearning Plan 4&amp;RPrinted on: &amp;D
</oddHeader>
    <oddFooter>&amp;CPage &amp;P of &amp;N</oddFooter>
  </headerFooter>
  <legacyDrawing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3AA3658A-6A8A-42DC-ABFF-C0BC85620C71}">
            <xm:f>OR('SA1'!$G$3="",$G$4="")</xm:f>
            <x14:dxf>
              <font>
                <color theme="0"/>
              </font>
              <fill>
                <patternFill>
                  <bgColor theme="0"/>
                </patternFill>
              </fill>
              <border>
                <left style="thin">
                  <color theme="0"/>
                </left>
                <right style="thin">
                  <color theme="0"/>
                </right>
                <top style="thin">
                  <color theme="0"/>
                </top>
                <bottom style="thin">
                  <color theme="0"/>
                </bottom>
                <vertical/>
                <horizontal/>
              </border>
            </x14:dxf>
          </x14:cfRule>
          <xm:sqref>A5:O42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49411-D17E-4192-9521-77548540918E}">
  <sheetPr>
    <tabColor rgb="FFFFFFCC"/>
    <pageSetUpPr fitToPage="1"/>
  </sheetPr>
  <dimension ref="A1:S66"/>
  <sheetViews>
    <sheetView showGridLines="0" zoomScaleNormal="100" workbookViewId="0">
      <pane ySplit="6" topLeftCell="A7" activePane="bottomLeft" state="frozen"/>
      <selection activeCell="G4" sqref="G4"/>
      <selection pane="bottomLeft"/>
    </sheetView>
  </sheetViews>
  <sheetFormatPr defaultRowHeight="14.5" x14ac:dyDescent="0.35"/>
  <cols>
    <col min="1" max="1" width="7.26953125" customWidth="1"/>
    <col min="2" max="2" width="12.54296875" style="22" customWidth="1"/>
    <col min="3" max="3" width="54.08984375" style="22" customWidth="1"/>
    <col min="4" max="4" width="10.1796875" customWidth="1"/>
    <col min="5" max="5" width="8.453125" customWidth="1"/>
    <col min="6" max="6" width="7.90625" customWidth="1"/>
    <col min="7" max="7" width="36.36328125" customWidth="1"/>
    <col min="8" max="8" width="0" hidden="1" customWidth="1"/>
    <col min="9" max="9" width="2.26953125" customWidth="1"/>
    <col min="10" max="10" width="7.26953125" customWidth="1"/>
    <col min="11" max="11" width="85.1796875" style="22" customWidth="1"/>
    <col min="12" max="12" width="14.453125" customWidth="1"/>
    <col min="13" max="13" width="44.453125" customWidth="1"/>
    <col min="14" max="14" width="16" style="44" customWidth="1"/>
    <col min="15" max="15" width="30.54296875" customWidth="1"/>
    <col min="16" max="16" width="1.453125" customWidth="1"/>
  </cols>
  <sheetData>
    <row r="1" spans="1:19" s="270" customFormat="1" ht="10.5" x14ac:dyDescent="0.25">
      <c r="A1" s="271" t="s">
        <v>113</v>
      </c>
      <c r="B1" s="272"/>
      <c r="C1" s="272"/>
      <c r="K1" s="272"/>
      <c r="N1" s="273"/>
    </row>
    <row r="2" spans="1:19" x14ac:dyDescent="0.35">
      <c r="A2" s="245" t="str">
        <f>IF('SA1'!$G$3="","You must enter a name (or role) in worksheet SA1, cell G3 to activate the workbook.",IF($G$4="","You must enter a Date of Self Assessment in G4 to activate this worksheet.",""))</f>
        <v>You must enter a Date of Self Assessment in G4 to activate this worksheet.</v>
      </c>
    </row>
    <row r="3" spans="1:19" x14ac:dyDescent="0.35">
      <c r="G3" s="314"/>
    </row>
    <row r="4" spans="1:19" ht="20.5" thickBot="1" x14ac:dyDescent="0.4">
      <c r="A4" s="31" t="s">
        <v>122</v>
      </c>
      <c r="B4" s="32"/>
      <c r="C4" s="32"/>
      <c r="F4" s="33" t="s">
        <v>105</v>
      </c>
      <c r="G4" s="285"/>
      <c r="J4" s="31" t="s">
        <v>116</v>
      </c>
      <c r="K4" s="32"/>
      <c r="M4" s="33" t="s">
        <v>97</v>
      </c>
      <c r="N4" s="285"/>
      <c r="O4" s="34"/>
      <c r="P4" s="35"/>
    </row>
    <row r="5" spans="1:19" x14ac:dyDescent="0.35">
      <c r="J5" s="36" t="str">
        <f>calc!F10</f>
        <v>Please complete 36 Rating(s) in column D before using the Learning Plan.</v>
      </c>
      <c r="K5" s="37"/>
      <c r="L5" s="38"/>
      <c r="M5" s="38"/>
      <c r="N5" s="43"/>
      <c r="O5" s="39"/>
      <c r="P5" s="38"/>
    </row>
    <row r="6" spans="1:19" ht="43.5" x14ac:dyDescent="0.35">
      <c r="A6" s="45" t="s">
        <v>94</v>
      </c>
      <c r="B6" s="46" t="s">
        <v>0</v>
      </c>
      <c r="C6" s="47" t="s">
        <v>1</v>
      </c>
      <c r="D6" s="48" t="s">
        <v>84</v>
      </c>
      <c r="E6" s="45" t="s">
        <v>85</v>
      </c>
      <c r="F6" s="45" t="s">
        <v>86</v>
      </c>
      <c r="G6" s="49" t="s">
        <v>95</v>
      </c>
      <c r="H6" s="50" t="s">
        <v>90</v>
      </c>
      <c r="J6" s="60" t="s">
        <v>98</v>
      </c>
      <c r="K6" s="61" t="s">
        <v>1</v>
      </c>
      <c r="L6" s="62" t="s">
        <v>99</v>
      </c>
      <c r="M6" s="62" t="s">
        <v>100</v>
      </c>
      <c r="N6" s="291" t="s">
        <v>101</v>
      </c>
      <c r="O6" s="63" t="s">
        <v>95</v>
      </c>
      <c r="P6" s="38"/>
    </row>
    <row r="7" spans="1:19" ht="18.5" x14ac:dyDescent="0.35">
      <c r="A7" s="1">
        <v>1</v>
      </c>
      <c r="B7" s="24" t="s">
        <v>2</v>
      </c>
      <c r="C7" s="21" t="s">
        <v>3</v>
      </c>
      <c r="D7" s="57"/>
      <c r="E7" s="2" t="str">
        <f>EnterData_4[[#This Row],[Essential]]&amp;""</f>
        <v>Y</v>
      </c>
      <c r="F7" s="288"/>
      <c r="G7" s="52"/>
      <c r="H7" s="24" t="s">
        <v>91</v>
      </c>
      <c r="J7" s="38" t="str">
        <f>calc!F13&amp;""</f>
        <v/>
      </c>
      <c r="K7" s="37" t="str">
        <f>_xlfn.LET(_xlpm.x,INDEX(EnterData_8[Competencies],MATCH(J7,EnterData_8[Competency Num],0),1),IF(ISERROR(_xlpm.x),"",_xlpm.x))</f>
        <v/>
      </c>
      <c r="L7" s="294"/>
      <c r="M7" s="295"/>
      <c r="N7" s="296"/>
      <c r="O7" s="296"/>
      <c r="P7" s="20"/>
      <c r="Q7" s="20"/>
      <c r="R7" s="20"/>
      <c r="S7" s="20"/>
    </row>
    <row r="8" spans="1:19" ht="29" x14ac:dyDescent="0.35">
      <c r="A8" s="3">
        <v>2</v>
      </c>
      <c r="B8" s="25" t="s">
        <v>5</v>
      </c>
      <c r="C8" s="4" t="s">
        <v>6</v>
      </c>
      <c r="D8" s="58"/>
      <c r="E8" s="5" t="str">
        <f>EnterData_4[[#This Row],[Essential]]&amp;""</f>
        <v>Y</v>
      </c>
      <c r="F8" s="289"/>
      <c r="G8" s="53"/>
      <c r="H8" s="25" t="s">
        <v>91</v>
      </c>
      <c r="J8" s="38" t="str">
        <f>calc!F14&amp;""</f>
        <v/>
      </c>
      <c r="K8" s="37" t="str">
        <f>_xlfn.LET(_xlpm.x,INDEX(EnterData_8[Competencies],MATCH(J8,EnterData_8[Competency Num],0),1),IF(ISERROR(_xlpm.x),"",_xlpm.x))</f>
        <v/>
      </c>
      <c r="L8" s="294"/>
      <c r="M8" s="295"/>
      <c r="N8" s="296"/>
      <c r="O8" s="296"/>
      <c r="P8" s="20"/>
      <c r="Q8" s="20"/>
      <c r="R8" s="20"/>
      <c r="S8" s="20"/>
    </row>
    <row r="9" spans="1:19" ht="72.5" x14ac:dyDescent="0.35">
      <c r="A9" s="3">
        <v>3</v>
      </c>
      <c r="B9" s="25" t="s">
        <v>8</v>
      </c>
      <c r="C9" s="4" t="s">
        <v>9</v>
      </c>
      <c r="D9" s="58"/>
      <c r="E9" s="5" t="str">
        <f>EnterData_4[[#This Row],[Essential]]&amp;""</f>
        <v>Y</v>
      </c>
      <c r="F9" s="289"/>
      <c r="G9" s="53"/>
      <c r="H9" s="25" t="s">
        <v>91</v>
      </c>
      <c r="J9" s="38" t="str">
        <f>calc!F15&amp;""</f>
        <v/>
      </c>
      <c r="K9" s="37" t="str">
        <f>_xlfn.LET(_xlpm.x,INDEX(EnterData_8[Competencies],MATCH(J9,EnterData_8[Competency Num],0),1),IF(ISERROR(_xlpm.x),"",_xlpm.x))</f>
        <v/>
      </c>
      <c r="L9" s="294"/>
      <c r="M9" s="295"/>
      <c r="N9" s="296"/>
      <c r="O9" s="296"/>
      <c r="P9" s="20"/>
      <c r="Q9" s="20"/>
      <c r="R9" s="20"/>
      <c r="S9" s="20"/>
    </row>
    <row r="10" spans="1:19" ht="43.5" x14ac:dyDescent="0.35">
      <c r="A10" s="3">
        <v>4</v>
      </c>
      <c r="B10" s="25" t="s">
        <v>10</v>
      </c>
      <c r="C10" s="4" t="s">
        <v>11</v>
      </c>
      <c r="D10" s="58"/>
      <c r="E10" s="5" t="str">
        <f>EnterData_4[[#This Row],[Essential]]&amp;""</f>
        <v>Y</v>
      </c>
      <c r="F10" s="289"/>
      <c r="G10" s="53"/>
      <c r="H10" s="25" t="s">
        <v>91</v>
      </c>
      <c r="J10" s="38" t="str">
        <f>calc!F16&amp;""</f>
        <v/>
      </c>
      <c r="K10" s="37" t="str">
        <f>_xlfn.LET(_xlpm.x,INDEX(EnterData_8[Competencies],MATCH(J10,EnterData_8[Competency Num],0),1),IF(ISERROR(_xlpm.x),"",_xlpm.x))</f>
        <v/>
      </c>
      <c r="L10" s="294"/>
      <c r="M10" s="295"/>
      <c r="N10" s="296"/>
      <c r="O10" s="296"/>
      <c r="P10" s="20"/>
      <c r="Q10" s="20"/>
      <c r="R10" s="20"/>
      <c r="S10" s="20"/>
    </row>
    <row r="11" spans="1:19" ht="58" x14ac:dyDescent="0.35">
      <c r="A11" s="3">
        <v>5</v>
      </c>
      <c r="B11" s="25" t="s">
        <v>12</v>
      </c>
      <c r="C11" s="4" t="s">
        <v>13</v>
      </c>
      <c r="D11" s="58"/>
      <c r="E11" s="5" t="str">
        <f>EnterData_4[[#This Row],[Essential]]&amp;""</f>
        <v>Y</v>
      </c>
      <c r="F11" s="289"/>
      <c r="G11" s="53"/>
      <c r="H11" s="25" t="s">
        <v>91</v>
      </c>
      <c r="J11" s="38" t="str">
        <f>calc!F17&amp;""</f>
        <v/>
      </c>
      <c r="K11" s="37" t="str">
        <f>_xlfn.LET(_xlpm.x,INDEX(EnterData_8[Competencies],MATCH(J11,EnterData_8[Competency Num],0),1),IF(ISERROR(_xlpm.x),"",_xlpm.x))</f>
        <v/>
      </c>
      <c r="L11" s="294"/>
      <c r="M11" s="295"/>
      <c r="N11" s="296"/>
      <c r="O11" s="296"/>
      <c r="P11" s="20"/>
      <c r="Q11" s="20"/>
      <c r="R11" s="20"/>
      <c r="S11" s="20"/>
    </row>
    <row r="12" spans="1:19" ht="43.5" x14ac:dyDescent="0.35">
      <c r="A12" s="3">
        <v>6</v>
      </c>
      <c r="B12" s="25" t="s">
        <v>15</v>
      </c>
      <c r="C12" s="4" t="s">
        <v>16</v>
      </c>
      <c r="D12" s="58"/>
      <c r="E12" s="5" t="str">
        <f>EnterData_4[[#This Row],[Essential]]&amp;""</f>
        <v>Y</v>
      </c>
      <c r="F12" s="289"/>
      <c r="G12" s="53"/>
      <c r="H12" s="25" t="s">
        <v>91</v>
      </c>
      <c r="J12" s="38" t="str">
        <f>calc!F18&amp;""</f>
        <v/>
      </c>
      <c r="K12" s="37" t="str">
        <f>_xlfn.LET(_xlpm.x,INDEX(EnterData_8[Competencies],MATCH(J12,EnterData_8[Competency Num],0),1),IF(ISERROR(_xlpm.x),"",_xlpm.x))</f>
        <v/>
      </c>
      <c r="L12" s="294"/>
      <c r="M12" s="295"/>
      <c r="N12" s="296"/>
      <c r="O12" s="296"/>
      <c r="P12" s="20"/>
      <c r="Q12" s="20"/>
      <c r="R12" s="20"/>
      <c r="S12" s="20"/>
    </row>
    <row r="13" spans="1:19" ht="58" x14ac:dyDescent="0.35">
      <c r="A13" s="3">
        <v>7</v>
      </c>
      <c r="B13" s="25" t="s">
        <v>17</v>
      </c>
      <c r="C13" s="4" t="s">
        <v>18</v>
      </c>
      <c r="D13" s="58"/>
      <c r="E13" s="5" t="str">
        <f>EnterData_4[[#This Row],[Essential]]&amp;""</f>
        <v>Y</v>
      </c>
      <c r="F13" s="289"/>
      <c r="G13" s="53"/>
      <c r="H13" s="25" t="s">
        <v>91</v>
      </c>
      <c r="J13" s="38" t="str">
        <f>calc!F19&amp;""</f>
        <v/>
      </c>
      <c r="K13" s="37" t="str">
        <f>_xlfn.LET(_xlpm.x,INDEX(EnterData_8[Competencies],MATCH(J13,EnterData_8[Competency Num],0),1),IF(ISERROR(_xlpm.x),"",_xlpm.x))</f>
        <v/>
      </c>
      <c r="L13" s="294"/>
      <c r="M13" s="295"/>
      <c r="N13" s="296"/>
      <c r="O13" s="296"/>
      <c r="P13" s="20"/>
      <c r="Q13" s="20"/>
      <c r="R13" s="20"/>
      <c r="S13" s="20"/>
    </row>
    <row r="14" spans="1:19" ht="58" x14ac:dyDescent="0.35">
      <c r="A14" s="3">
        <v>8</v>
      </c>
      <c r="B14" s="25" t="s">
        <v>19</v>
      </c>
      <c r="C14" s="4" t="s">
        <v>20</v>
      </c>
      <c r="D14" s="58"/>
      <c r="E14" s="5" t="str">
        <f>EnterData_4[[#This Row],[Essential]]&amp;""</f>
        <v>N</v>
      </c>
      <c r="F14" s="289"/>
      <c r="G14" s="53"/>
      <c r="H14" s="25" t="s">
        <v>91</v>
      </c>
      <c r="J14" s="38" t="str">
        <f>calc!F20&amp;""</f>
        <v/>
      </c>
      <c r="K14" s="37" t="str">
        <f>_xlfn.LET(_xlpm.x,INDEX(EnterData_8[Competencies],MATCH(J14,EnterData_8[Competency Num],0),1),IF(ISERROR(_xlpm.x),"",_xlpm.x))</f>
        <v/>
      </c>
      <c r="L14" s="294"/>
      <c r="M14" s="295"/>
      <c r="N14" s="296"/>
      <c r="O14" s="296"/>
      <c r="P14" s="20"/>
      <c r="Q14" s="20"/>
      <c r="R14" s="20"/>
      <c r="S14" s="20"/>
    </row>
    <row r="15" spans="1:19" ht="29" x14ac:dyDescent="0.35">
      <c r="A15" s="3">
        <v>9</v>
      </c>
      <c r="B15" s="25" t="s">
        <v>21</v>
      </c>
      <c r="C15" s="4" t="s">
        <v>22</v>
      </c>
      <c r="D15" s="58"/>
      <c r="E15" s="5" t="str">
        <f>EnterData_4[[#This Row],[Essential]]&amp;""</f>
        <v>Y</v>
      </c>
      <c r="F15" s="289"/>
      <c r="G15" s="53"/>
      <c r="H15" s="25" t="s">
        <v>91</v>
      </c>
      <c r="J15" s="38" t="str">
        <f>calc!F21&amp;""</f>
        <v/>
      </c>
      <c r="K15" s="37" t="str">
        <f>_xlfn.LET(_xlpm.x,INDEX(EnterData_8[Competencies],MATCH(J15,EnterData_8[Competency Num],0),1),IF(ISERROR(_xlpm.x),"",_xlpm.x))</f>
        <v/>
      </c>
      <c r="L15" s="294"/>
      <c r="M15" s="295"/>
      <c r="N15" s="296"/>
      <c r="O15" s="296"/>
      <c r="P15" s="20"/>
      <c r="Q15" s="20"/>
      <c r="R15" s="20"/>
      <c r="S15" s="20"/>
    </row>
    <row r="16" spans="1:19" ht="58" x14ac:dyDescent="0.35">
      <c r="A16" s="3">
        <v>10</v>
      </c>
      <c r="B16" s="319" t="s">
        <v>23</v>
      </c>
      <c r="C16" s="320" t="s">
        <v>24</v>
      </c>
      <c r="D16" s="299"/>
      <c r="E16" s="300" t="str">
        <f>EnterData_4[[#This Row],[Essential]]&amp;""</f>
        <v>Y</v>
      </c>
      <c r="F16" s="301"/>
      <c r="G16" s="302"/>
      <c r="H16" s="25" t="s">
        <v>91</v>
      </c>
      <c r="J16" s="38" t="str">
        <f>calc!F22&amp;""</f>
        <v/>
      </c>
      <c r="K16" s="37" t="str">
        <f>_xlfn.LET(_xlpm.x,INDEX(EnterData_8[Competencies],MATCH(J16,EnterData_8[Competency Num],0),1),IF(ISERROR(_xlpm.x),"",_xlpm.x))</f>
        <v/>
      </c>
      <c r="L16" s="294"/>
      <c r="M16" s="295"/>
      <c r="N16" s="296"/>
      <c r="O16" s="296"/>
      <c r="P16" s="20"/>
      <c r="Q16" s="20"/>
      <c r="R16" s="20"/>
      <c r="S16" s="20"/>
    </row>
    <row r="17" spans="1:19" ht="58" x14ac:dyDescent="0.35">
      <c r="A17" s="6">
        <v>11</v>
      </c>
      <c r="B17" s="316" t="s">
        <v>25</v>
      </c>
      <c r="C17" s="317" t="s">
        <v>26</v>
      </c>
      <c r="D17" s="57"/>
      <c r="E17" s="2" t="str">
        <f>EnterData_4[[#This Row],[Essential]]&amp;""</f>
        <v>Y</v>
      </c>
      <c r="F17" s="288"/>
      <c r="G17" s="318"/>
      <c r="H17" s="26" t="s">
        <v>92</v>
      </c>
      <c r="J17" s="38" t="str">
        <f>calc!F23&amp;""</f>
        <v/>
      </c>
      <c r="K17" s="37" t="str">
        <f>_xlfn.LET(_xlpm.x,INDEX(EnterData_8[Competencies],MATCH(J17,EnterData_8[Competency Num],0),1),IF(ISERROR(_xlpm.x),"",_xlpm.x))</f>
        <v/>
      </c>
      <c r="L17" s="294"/>
      <c r="M17" s="295"/>
      <c r="N17" s="296"/>
      <c r="O17" s="296"/>
      <c r="P17" s="20"/>
      <c r="Q17" s="20"/>
      <c r="R17" s="20"/>
      <c r="S17" s="20"/>
    </row>
    <row r="18" spans="1:19" ht="29" x14ac:dyDescent="0.35">
      <c r="A18" s="6">
        <v>12</v>
      </c>
      <c r="B18" s="26" t="s">
        <v>27</v>
      </c>
      <c r="C18" s="7" t="s">
        <v>28</v>
      </c>
      <c r="D18" s="58"/>
      <c r="E18" s="5" t="str">
        <f>EnterData_4[[#This Row],[Essential]]&amp;""</f>
        <v>Y</v>
      </c>
      <c r="F18" s="289"/>
      <c r="G18" s="53"/>
      <c r="H18" s="26" t="s">
        <v>92</v>
      </c>
      <c r="J18" s="38" t="str">
        <f>calc!F24&amp;""</f>
        <v/>
      </c>
      <c r="K18" s="37" t="str">
        <f>_xlfn.LET(_xlpm.x,INDEX(EnterData_8[Competencies],MATCH(J18,EnterData_8[Competency Num],0),1),IF(ISERROR(_xlpm.x),"",_xlpm.x))</f>
        <v/>
      </c>
      <c r="L18" s="294"/>
      <c r="M18" s="295"/>
      <c r="N18" s="296"/>
      <c r="O18" s="296"/>
      <c r="P18" s="20"/>
      <c r="Q18" s="20"/>
      <c r="R18" s="20"/>
      <c r="S18" s="20"/>
    </row>
    <row r="19" spans="1:19" ht="43.5" x14ac:dyDescent="0.35">
      <c r="A19" s="6">
        <v>13</v>
      </c>
      <c r="B19" s="26" t="s">
        <v>29</v>
      </c>
      <c r="C19" s="7" t="s">
        <v>30</v>
      </c>
      <c r="D19" s="58"/>
      <c r="E19" s="5" t="str">
        <f>EnterData_4[[#This Row],[Essential]]&amp;""</f>
        <v>Y</v>
      </c>
      <c r="F19" s="289"/>
      <c r="G19" s="53"/>
      <c r="H19" s="26" t="s">
        <v>92</v>
      </c>
      <c r="J19" s="38" t="str">
        <f>calc!F25&amp;""</f>
        <v/>
      </c>
      <c r="K19" s="37" t="str">
        <f>_xlfn.LET(_xlpm.x,INDEX(EnterData_8[Competencies],MATCH(J19,EnterData_8[Competency Num],0),1),IF(ISERROR(_xlpm.x),"",_xlpm.x))</f>
        <v/>
      </c>
      <c r="L19" s="294"/>
      <c r="M19" s="295"/>
      <c r="N19" s="296"/>
      <c r="O19" s="296"/>
      <c r="P19" s="20"/>
      <c r="Q19" s="20"/>
      <c r="R19" s="20"/>
      <c r="S19" s="20"/>
    </row>
    <row r="20" spans="1:19" ht="43.5" x14ac:dyDescent="0.35">
      <c r="A20" s="6">
        <v>14</v>
      </c>
      <c r="B20" s="26" t="s">
        <v>31</v>
      </c>
      <c r="C20" s="7" t="s">
        <v>32</v>
      </c>
      <c r="D20" s="58"/>
      <c r="E20" s="5" t="str">
        <f>EnterData_4[[#This Row],[Essential]]&amp;""</f>
        <v>N</v>
      </c>
      <c r="F20" s="289"/>
      <c r="G20" s="53"/>
      <c r="H20" s="26" t="s">
        <v>92</v>
      </c>
      <c r="J20" s="38" t="str">
        <f>calc!F26&amp;""</f>
        <v/>
      </c>
      <c r="K20" s="37" t="str">
        <f>_xlfn.LET(_xlpm.x,INDEX(EnterData_8[Competencies],MATCH(J20,EnterData_8[Competency Num],0),1),IF(ISERROR(_xlpm.x),"",_xlpm.x))</f>
        <v/>
      </c>
      <c r="L20" s="294"/>
      <c r="M20" s="295"/>
      <c r="N20" s="296"/>
      <c r="O20" s="296"/>
      <c r="P20" s="20"/>
      <c r="Q20" s="20"/>
      <c r="R20" s="20"/>
      <c r="S20" s="20"/>
    </row>
    <row r="21" spans="1:19" ht="58" x14ac:dyDescent="0.35">
      <c r="A21" s="6">
        <v>15</v>
      </c>
      <c r="B21" s="26" t="s">
        <v>33</v>
      </c>
      <c r="C21" s="7" t="s">
        <v>34</v>
      </c>
      <c r="D21" s="58"/>
      <c r="E21" s="5" t="str">
        <f>EnterData_4[[#This Row],[Essential]]&amp;""</f>
        <v>Y</v>
      </c>
      <c r="F21" s="289"/>
      <c r="G21" s="53"/>
      <c r="H21" s="26" t="s">
        <v>92</v>
      </c>
      <c r="J21" s="38" t="str">
        <f>calc!F27&amp;""</f>
        <v/>
      </c>
      <c r="K21" s="37" t="str">
        <f>_xlfn.LET(_xlpm.x,INDEX(EnterData_8[Competencies],MATCH(J21,EnterData_8[Competency Num],0),1),IF(ISERROR(_xlpm.x),"",_xlpm.x))</f>
        <v/>
      </c>
      <c r="L21" s="294"/>
      <c r="M21" s="295"/>
      <c r="N21" s="296"/>
      <c r="O21" s="296"/>
      <c r="P21" s="20"/>
      <c r="Q21" s="20"/>
      <c r="R21" s="20"/>
      <c r="S21" s="20"/>
    </row>
    <row r="22" spans="1:19" ht="29" x14ac:dyDescent="0.35">
      <c r="A22" s="6">
        <v>16</v>
      </c>
      <c r="B22" s="26" t="s">
        <v>35</v>
      </c>
      <c r="C22" s="7" t="s">
        <v>36</v>
      </c>
      <c r="D22" s="58"/>
      <c r="E22" s="5" t="str">
        <f>EnterData_4[[#This Row],[Essential]]&amp;""</f>
        <v>Y</v>
      </c>
      <c r="F22" s="289"/>
      <c r="G22" s="53"/>
      <c r="H22" s="26" t="s">
        <v>92</v>
      </c>
      <c r="J22" s="38" t="str">
        <f>calc!F28&amp;""</f>
        <v/>
      </c>
      <c r="K22" s="37" t="str">
        <f>_xlfn.LET(_xlpm.x,INDEX(EnterData_8[Competencies],MATCH(J22,EnterData_8[Competency Num],0),1),IF(ISERROR(_xlpm.x),"",_xlpm.x))</f>
        <v/>
      </c>
      <c r="L22" s="294"/>
      <c r="M22" s="295"/>
      <c r="N22" s="296"/>
      <c r="O22" s="296"/>
      <c r="P22" s="20"/>
      <c r="Q22" s="20"/>
      <c r="R22" s="20"/>
      <c r="S22" s="20"/>
    </row>
    <row r="23" spans="1:19" ht="43.5" x14ac:dyDescent="0.35">
      <c r="A23" s="6">
        <v>17</v>
      </c>
      <c r="B23" s="26" t="s">
        <v>37</v>
      </c>
      <c r="C23" s="7" t="s">
        <v>38</v>
      </c>
      <c r="D23" s="58"/>
      <c r="E23" s="5" t="str">
        <f>EnterData_4[[#This Row],[Essential]]&amp;""</f>
        <v>Y</v>
      </c>
      <c r="F23" s="289"/>
      <c r="G23" s="53"/>
      <c r="H23" s="26" t="s">
        <v>92</v>
      </c>
      <c r="J23" s="38" t="str">
        <f>calc!F29&amp;""</f>
        <v/>
      </c>
      <c r="K23" s="37" t="str">
        <f>_xlfn.LET(_xlpm.x,INDEX(EnterData_8[Competencies],MATCH(J23,EnterData_8[Competency Num],0),1),IF(ISERROR(_xlpm.x),"",_xlpm.x))</f>
        <v/>
      </c>
      <c r="L23" s="294"/>
      <c r="M23" s="295"/>
      <c r="N23" s="296"/>
      <c r="O23" s="296"/>
      <c r="P23" s="20"/>
      <c r="Q23" s="20"/>
      <c r="R23" s="20"/>
      <c r="S23" s="20"/>
    </row>
    <row r="24" spans="1:19" ht="43.5" x14ac:dyDescent="0.35">
      <c r="A24" s="6">
        <v>18</v>
      </c>
      <c r="B24" s="26" t="s">
        <v>39</v>
      </c>
      <c r="C24" s="7" t="s">
        <v>40</v>
      </c>
      <c r="D24" s="58"/>
      <c r="E24" s="5" t="str">
        <f>EnterData_4[[#This Row],[Essential]]&amp;""</f>
        <v>N</v>
      </c>
      <c r="F24" s="289"/>
      <c r="G24" s="53"/>
      <c r="H24" s="26" t="s">
        <v>92</v>
      </c>
      <c r="J24" s="38" t="str">
        <f>calc!F30&amp;""</f>
        <v/>
      </c>
      <c r="K24" s="37" t="str">
        <f>_xlfn.LET(_xlpm.x,INDEX(EnterData_8[Competencies],MATCH(J24,EnterData_8[Competency Num],0),1),IF(ISERROR(_xlpm.x),"",_xlpm.x))</f>
        <v/>
      </c>
      <c r="L24" s="294"/>
      <c r="M24" s="295"/>
      <c r="N24" s="296"/>
      <c r="O24" s="296"/>
      <c r="P24" s="20"/>
      <c r="Q24" s="20"/>
      <c r="R24" s="20"/>
      <c r="S24" s="20"/>
    </row>
    <row r="25" spans="1:19" ht="43.5" x14ac:dyDescent="0.35">
      <c r="A25" s="6">
        <v>19</v>
      </c>
      <c r="B25" s="26" t="s">
        <v>41</v>
      </c>
      <c r="C25" s="7" t="s">
        <v>42</v>
      </c>
      <c r="D25" s="58"/>
      <c r="E25" s="5" t="str">
        <f>EnterData_4[[#This Row],[Essential]]&amp;""</f>
        <v>Y</v>
      </c>
      <c r="F25" s="289"/>
      <c r="G25" s="53"/>
      <c r="H25" s="26" t="s">
        <v>92</v>
      </c>
      <c r="J25" s="38" t="str">
        <f>calc!F31&amp;""</f>
        <v/>
      </c>
      <c r="K25" s="37" t="str">
        <f>_xlfn.LET(_xlpm.x,INDEX(EnterData_8[Competencies],MATCH(J25,EnterData_8[Competency Num],0),1),IF(ISERROR(_xlpm.x),"",_xlpm.x))</f>
        <v/>
      </c>
      <c r="L25" s="294"/>
      <c r="M25" s="295"/>
      <c r="N25" s="296"/>
      <c r="O25" s="296"/>
      <c r="P25" s="20"/>
      <c r="Q25" s="20"/>
      <c r="R25" s="20"/>
      <c r="S25" s="20"/>
    </row>
    <row r="26" spans="1:19" ht="29" x14ac:dyDescent="0.35">
      <c r="A26" s="6">
        <v>20</v>
      </c>
      <c r="B26" s="26" t="s">
        <v>43</v>
      </c>
      <c r="C26" s="7" t="s">
        <v>44</v>
      </c>
      <c r="D26" s="58"/>
      <c r="E26" s="5" t="str">
        <f>EnterData_4[[#This Row],[Essential]]&amp;""</f>
        <v>Y</v>
      </c>
      <c r="F26" s="289"/>
      <c r="G26" s="53"/>
      <c r="H26" s="26" t="s">
        <v>92</v>
      </c>
      <c r="J26" s="38" t="str">
        <f>calc!F32&amp;""</f>
        <v/>
      </c>
      <c r="K26" s="37" t="str">
        <f>_xlfn.LET(_xlpm.x,INDEX(EnterData_8[Competencies],MATCH(J26,EnterData_8[Competency Num],0),1),IF(ISERROR(_xlpm.x),"",_xlpm.x))</f>
        <v/>
      </c>
      <c r="L26" s="294"/>
      <c r="M26" s="295"/>
      <c r="N26" s="296"/>
      <c r="O26" s="296"/>
      <c r="P26" s="20"/>
      <c r="Q26" s="20"/>
      <c r="R26" s="20"/>
      <c r="S26" s="20"/>
    </row>
    <row r="27" spans="1:19" ht="29" x14ac:dyDescent="0.35">
      <c r="A27" s="6">
        <v>21</v>
      </c>
      <c r="B27" s="26" t="s">
        <v>45</v>
      </c>
      <c r="C27" s="7" t="s">
        <v>46</v>
      </c>
      <c r="D27" s="58"/>
      <c r="E27" s="5" t="str">
        <f>EnterData_4[[#This Row],[Essential]]&amp;""</f>
        <v>Y</v>
      </c>
      <c r="F27" s="289"/>
      <c r="G27" s="53"/>
      <c r="H27" s="26" t="s">
        <v>92</v>
      </c>
      <c r="J27" s="38" t="str">
        <f>calc!F33&amp;""</f>
        <v/>
      </c>
      <c r="K27" s="37" t="str">
        <f>_xlfn.LET(_xlpm.x,INDEX(EnterData_8[Competencies],MATCH(J27,EnterData_8[Competency Num],0),1),IF(ISERROR(_xlpm.x),"",_xlpm.x))</f>
        <v/>
      </c>
      <c r="L27" s="294"/>
      <c r="M27" s="295"/>
      <c r="N27" s="296"/>
      <c r="O27" s="296"/>
      <c r="P27" s="20"/>
      <c r="Q27" s="20"/>
      <c r="R27" s="20"/>
      <c r="S27" s="20"/>
    </row>
    <row r="28" spans="1:19" ht="43.5" x14ac:dyDescent="0.35">
      <c r="A28" s="6">
        <v>22</v>
      </c>
      <c r="B28" s="26" t="s">
        <v>47</v>
      </c>
      <c r="C28" s="7" t="s">
        <v>48</v>
      </c>
      <c r="D28" s="58"/>
      <c r="E28" s="5" t="str">
        <f>EnterData_4[[#This Row],[Essential]]&amp;""</f>
        <v>Y</v>
      </c>
      <c r="F28" s="289"/>
      <c r="G28" s="53"/>
      <c r="H28" s="26" t="s">
        <v>92</v>
      </c>
      <c r="J28" s="38" t="str">
        <f>calc!F34&amp;""</f>
        <v/>
      </c>
      <c r="K28" s="37" t="str">
        <f>_xlfn.LET(_xlpm.x,INDEX(EnterData_8[Competencies],MATCH(J28,EnterData_8[Competency Num],0),1),IF(ISERROR(_xlpm.x),"",_xlpm.x))</f>
        <v/>
      </c>
      <c r="L28" s="294"/>
      <c r="M28" s="295"/>
      <c r="N28" s="296"/>
      <c r="O28" s="296"/>
      <c r="P28" s="20"/>
      <c r="Q28" s="20"/>
      <c r="R28" s="20"/>
      <c r="S28" s="20"/>
    </row>
    <row r="29" spans="1:19" ht="43.5" x14ac:dyDescent="0.35">
      <c r="A29" s="6">
        <v>23</v>
      </c>
      <c r="B29" s="322" t="s">
        <v>49</v>
      </c>
      <c r="C29" s="323" t="s">
        <v>50</v>
      </c>
      <c r="D29" s="299"/>
      <c r="E29" s="300" t="str">
        <f>EnterData_4[[#This Row],[Essential]]&amp;""</f>
        <v>Y</v>
      </c>
      <c r="F29" s="301"/>
      <c r="G29" s="302"/>
      <c r="H29" s="26" t="s">
        <v>92</v>
      </c>
      <c r="J29" s="38" t="str">
        <f>calc!F35&amp;""</f>
        <v/>
      </c>
      <c r="K29" s="37" t="str">
        <f>_xlfn.LET(_xlpm.x,INDEX(EnterData_8[Competencies],MATCH(J29,EnterData_8[Competency Num],0),1),IF(ISERROR(_xlpm.x),"",_xlpm.x))</f>
        <v/>
      </c>
      <c r="L29" s="294"/>
      <c r="M29" s="295"/>
      <c r="N29" s="296"/>
      <c r="O29" s="296"/>
      <c r="P29" s="20"/>
      <c r="Q29" s="20"/>
      <c r="R29" s="20"/>
      <c r="S29" s="20"/>
    </row>
    <row r="30" spans="1:19" ht="29" x14ac:dyDescent="0.35">
      <c r="A30" s="8">
        <v>24</v>
      </c>
      <c r="B30" s="321" t="s">
        <v>51</v>
      </c>
      <c r="C30" s="21" t="s">
        <v>52</v>
      </c>
      <c r="D30" s="57"/>
      <c r="E30" s="2" t="str">
        <f>EnterData_4[[#This Row],[Essential]]&amp;""</f>
        <v>N</v>
      </c>
      <c r="F30" s="288"/>
      <c r="G30" s="318"/>
      <c r="H30" s="27" t="s">
        <v>93</v>
      </c>
      <c r="J30" s="38" t="str">
        <f>calc!F36&amp;""</f>
        <v/>
      </c>
      <c r="K30" s="37" t="str">
        <f>_xlfn.LET(_xlpm.x,INDEX(EnterData_8[Competencies],MATCH(J30,EnterData_8[Competency Num],0),1),IF(ISERROR(_xlpm.x),"",_xlpm.x))</f>
        <v/>
      </c>
      <c r="L30" s="294"/>
      <c r="M30" s="295"/>
      <c r="N30" s="296"/>
      <c r="O30" s="296"/>
      <c r="P30" s="20"/>
      <c r="Q30" s="20"/>
      <c r="R30" s="20"/>
      <c r="S30" s="20"/>
    </row>
    <row r="31" spans="1:19" ht="43.5" x14ac:dyDescent="0.35">
      <c r="A31" s="8">
        <v>25</v>
      </c>
      <c r="B31" s="27" t="s">
        <v>53</v>
      </c>
      <c r="C31" s="4" t="s">
        <v>54</v>
      </c>
      <c r="D31" s="58"/>
      <c r="E31" s="5" t="str">
        <f>EnterData_4[[#This Row],[Essential]]&amp;""</f>
        <v>Y</v>
      </c>
      <c r="F31" s="289"/>
      <c r="G31" s="53"/>
      <c r="H31" s="27" t="s">
        <v>93</v>
      </c>
      <c r="J31" s="38" t="str">
        <f>calc!F37&amp;""</f>
        <v/>
      </c>
      <c r="K31" s="37" t="str">
        <f>_xlfn.LET(_xlpm.x,INDEX(EnterData_8[Competencies],MATCH(J31,EnterData_8[Competency Num],0),1),IF(ISERROR(_xlpm.x),"",_xlpm.x))</f>
        <v/>
      </c>
      <c r="L31" s="294"/>
      <c r="M31" s="295"/>
      <c r="N31" s="296"/>
      <c r="O31" s="296"/>
      <c r="P31" s="20"/>
      <c r="Q31" s="20"/>
      <c r="R31" s="20"/>
      <c r="S31" s="20"/>
    </row>
    <row r="32" spans="1:19" ht="29" x14ac:dyDescent="0.35">
      <c r="A32" s="8">
        <v>26</v>
      </c>
      <c r="B32" s="27" t="s">
        <v>55</v>
      </c>
      <c r="C32" s="4" t="s">
        <v>56</v>
      </c>
      <c r="D32" s="58"/>
      <c r="E32" s="5" t="str">
        <f>EnterData_4[[#This Row],[Essential]]&amp;""</f>
        <v>Y</v>
      </c>
      <c r="F32" s="289"/>
      <c r="G32" s="53"/>
      <c r="H32" s="27" t="s">
        <v>93</v>
      </c>
      <c r="J32" s="38" t="str">
        <f>calc!F38&amp;""</f>
        <v/>
      </c>
      <c r="K32" s="37" t="str">
        <f>_xlfn.LET(_xlpm.x,INDEX(EnterData_8[Competencies],MATCH(J32,EnterData_8[Competency Num],0),1),IF(ISERROR(_xlpm.x),"",_xlpm.x))</f>
        <v/>
      </c>
      <c r="L32" s="294"/>
      <c r="M32" s="295"/>
      <c r="N32" s="296"/>
      <c r="O32" s="296"/>
      <c r="P32" s="20"/>
      <c r="Q32" s="20"/>
      <c r="R32" s="20"/>
      <c r="S32" s="20"/>
    </row>
    <row r="33" spans="1:19" ht="29" x14ac:dyDescent="0.35">
      <c r="A33" s="8">
        <v>27</v>
      </c>
      <c r="B33" s="27" t="s">
        <v>57</v>
      </c>
      <c r="C33" s="4" t="s">
        <v>58</v>
      </c>
      <c r="D33" s="58"/>
      <c r="E33" s="5" t="str">
        <f>EnterData_4[[#This Row],[Essential]]&amp;""</f>
        <v>Y</v>
      </c>
      <c r="F33" s="289"/>
      <c r="G33" s="53"/>
      <c r="H33" s="27" t="s">
        <v>93</v>
      </c>
      <c r="J33" s="38" t="str">
        <f>calc!F39&amp;""</f>
        <v/>
      </c>
      <c r="K33" s="37" t="str">
        <f>_xlfn.LET(_xlpm.x,INDEX(EnterData_8[Competencies],MATCH(J33,EnterData_8[Competency Num],0),1),IF(ISERROR(_xlpm.x),"",_xlpm.x))</f>
        <v/>
      </c>
      <c r="L33" s="294"/>
      <c r="M33" s="295"/>
      <c r="N33" s="296"/>
      <c r="O33" s="296"/>
      <c r="P33" s="20"/>
      <c r="Q33" s="20"/>
      <c r="R33" s="20"/>
      <c r="S33" s="20"/>
    </row>
    <row r="34" spans="1:19" ht="29" x14ac:dyDescent="0.35">
      <c r="A34" s="8">
        <v>28</v>
      </c>
      <c r="B34" s="27" t="s">
        <v>59</v>
      </c>
      <c r="C34" s="4" t="s">
        <v>60</v>
      </c>
      <c r="D34" s="58"/>
      <c r="E34" s="5" t="str">
        <f>EnterData_4[[#This Row],[Essential]]&amp;""</f>
        <v>Y</v>
      </c>
      <c r="F34" s="289"/>
      <c r="G34" s="53"/>
      <c r="H34" s="27" t="s">
        <v>93</v>
      </c>
      <c r="J34" s="38" t="str">
        <f>calc!F40&amp;""</f>
        <v/>
      </c>
      <c r="K34" s="37" t="str">
        <f>_xlfn.LET(_xlpm.x,INDEX(EnterData_8[Competencies],MATCH(J34,EnterData_8[Competency Num],0),1),IF(ISERROR(_xlpm.x),"",_xlpm.x))</f>
        <v/>
      </c>
      <c r="L34" s="294"/>
      <c r="M34" s="295"/>
      <c r="N34" s="296"/>
      <c r="O34" s="296"/>
      <c r="P34" s="20"/>
      <c r="Q34" s="20"/>
      <c r="R34" s="20"/>
      <c r="S34" s="20"/>
    </row>
    <row r="35" spans="1:19" ht="58" x14ac:dyDescent="0.35">
      <c r="A35" s="8">
        <v>29</v>
      </c>
      <c r="B35" s="27" t="s">
        <v>61</v>
      </c>
      <c r="C35" s="4" t="s">
        <v>62</v>
      </c>
      <c r="D35" s="58"/>
      <c r="E35" s="5" t="str">
        <f>EnterData_4[[#This Row],[Essential]]&amp;""</f>
        <v>Y</v>
      </c>
      <c r="F35" s="289"/>
      <c r="G35" s="53"/>
      <c r="H35" s="27" t="s">
        <v>93</v>
      </c>
      <c r="J35" s="38" t="str">
        <f>calc!F41&amp;""</f>
        <v/>
      </c>
      <c r="K35" s="37" t="str">
        <f>_xlfn.LET(_xlpm.x,INDEX(EnterData_8[Competencies],MATCH(J35,EnterData_8[Competency Num],0),1),IF(ISERROR(_xlpm.x),"",_xlpm.x))</f>
        <v/>
      </c>
      <c r="L35" s="294"/>
      <c r="M35" s="295"/>
      <c r="N35" s="296"/>
      <c r="O35" s="296"/>
      <c r="P35" s="20"/>
      <c r="Q35" s="20"/>
      <c r="R35" s="20"/>
      <c r="S35" s="20"/>
    </row>
    <row r="36" spans="1:19" ht="43.5" x14ac:dyDescent="0.35">
      <c r="A36" s="8">
        <v>30</v>
      </c>
      <c r="B36" s="27" t="s">
        <v>63</v>
      </c>
      <c r="C36" s="4" t="s">
        <v>64</v>
      </c>
      <c r="D36" s="58"/>
      <c r="E36" s="5" t="str">
        <f>EnterData_4[[#This Row],[Essential]]&amp;""</f>
        <v>Y</v>
      </c>
      <c r="F36" s="289"/>
      <c r="G36" s="53"/>
      <c r="H36" s="27" t="s">
        <v>93</v>
      </c>
      <c r="J36" s="38" t="str">
        <f>calc!F42&amp;""</f>
        <v/>
      </c>
      <c r="K36" s="37" t="str">
        <f>_xlfn.LET(_xlpm.x,INDEX(EnterData_8[Competencies],MATCH(J36,EnterData_8[Competency Num],0),1),IF(ISERROR(_xlpm.x),"",_xlpm.x))</f>
        <v/>
      </c>
      <c r="L36" s="294"/>
      <c r="M36" s="295"/>
      <c r="N36" s="296"/>
      <c r="O36" s="296"/>
      <c r="P36" s="20"/>
      <c r="Q36" s="20"/>
      <c r="R36" s="20"/>
      <c r="S36" s="20"/>
    </row>
    <row r="37" spans="1:19" ht="43.5" x14ac:dyDescent="0.35">
      <c r="A37" s="8">
        <v>31</v>
      </c>
      <c r="B37" s="27" t="s">
        <v>65</v>
      </c>
      <c r="C37" s="4" t="s">
        <v>66</v>
      </c>
      <c r="D37" s="58"/>
      <c r="E37" s="5" t="str">
        <f>EnterData_4[[#This Row],[Essential]]&amp;""</f>
        <v>Y</v>
      </c>
      <c r="F37" s="289"/>
      <c r="G37" s="53"/>
      <c r="H37" s="27" t="s">
        <v>93</v>
      </c>
      <c r="J37" s="38" t="str">
        <f>calc!F43&amp;""</f>
        <v/>
      </c>
      <c r="K37" s="37" t="str">
        <f>_xlfn.LET(_xlpm.x,INDEX(EnterData_8[Competencies],MATCH(J37,EnterData_8[Competency Num],0),1),IF(ISERROR(_xlpm.x),"",_xlpm.x))</f>
        <v/>
      </c>
      <c r="L37" s="294"/>
      <c r="M37" s="295"/>
      <c r="N37" s="296"/>
      <c r="O37" s="296"/>
      <c r="P37" s="20"/>
      <c r="Q37" s="20"/>
      <c r="R37" s="20"/>
      <c r="S37" s="20"/>
    </row>
    <row r="38" spans="1:19" ht="58" x14ac:dyDescent="0.35">
      <c r="A38" s="8">
        <v>32</v>
      </c>
      <c r="B38" s="27" t="s">
        <v>67</v>
      </c>
      <c r="C38" s="4" t="s">
        <v>68</v>
      </c>
      <c r="D38" s="58"/>
      <c r="E38" s="5" t="str">
        <f>EnterData_4[[#This Row],[Essential]]&amp;""</f>
        <v>Y</v>
      </c>
      <c r="F38" s="289"/>
      <c r="G38" s="53"/>
      <c r="H38" s="27" t="s">
        <v>93</v>
      </c>
      <c r="J38" s="38" t="str">
        <f>calc!F44&amp;""</f>
        <v/>
      </c>
      <c r="K38" s="37" t="str">
        <f>_xlfn.LET(_xlpm.x,INDEX(EnterData_8[Competencies],MATCH(J38,EnterData_8[Competency Num],0),1),IF(ISERROR(_xlpm.x),"",_xlpm.x))</f>
        <v/>
      </c>
      <c r="L38" s="294"/>
      <c r="M38" s="295"/>
      <c r="N38" s="296"/>
      <c r="O38" s="296"/>
      <c r="P38" s="20"/>
      <c r="Q38" s="20"/>
      <c r="R38" s="20"/>
      <c r="S38" s="20"/>
    </row>
    <row r="39" spans="1:19" ht="43.5" x14ac:dyDescent="0.35">
      <c r="A39" s="8">
        <v>33</v>
      </c>
      <c r="B39" s="27" t="s">
        <v>69</v>
      </c>
      <c r="C39" s="4" t="s">
        <v>70</v>
      </c>
      <c r="D39" s="58"/>
      <c r="E39" s="5" t="str">
        <f>EnterData_4[[#This Row],[Essential]]&amp;""</f>
        <v>Y</v>
      </c>
      <c r="F39" s="289"/>
      <c r="G39" s="53"/>
      <c r="H39" s="27" t="s">
        <v>93</v>
      </c>
      <c r="J39" s="38" t="str">
        <f>calc!F45&amp;""</f>
        <v/>
      </c>
      <c r="K39" s="37" t="str">
        <f>_xlfn.LET(_xlpm.x,INDEX(EnterData_8[Competencies],MATCH(J39,EnterData_8[Competency Num],0),1),IF(ISERROR(_xlpm.x),"",_xlpm.x))</f>
        <v/>
      </c>
      <c r="L39" s="294"/>
      <c r="M39" s="295"/>
      <c r="N39" s="296"/>
      <c r="O39" s="296"/>
      <c r="P39" s="20"/>
      <c r="Q39" s="20"/>
      <c r="R39" s="20"/>
      <c r="S39" s="20"/>
    </row>
    <row r="40" spans="1:19" ht="43.5" x14ac:dyDescent="0.35">
      <c r="A40" s="8">
        <v>34</v>
      </c>
      <c r="B40" s="27" t="s">
        <v>71</v>
      </c>
      <c r="C40" s="4" t="s">
        <v>72</v>
      </c>
      <c r="D40" s="58"/>
      <c r="E40" s="5" t="str">
        <f>EnterData_4[[#This Row],[Essential]]&amp;""</f>
        <v>Y</v>
      </c>
      <c r="F40" s="289"/>
      <c r="G40" s="53"/>
      <c r="H40" s="27" t="s">
        <v>93</v>
      </c>
      <c r="J40" s="38" t="str">
        <f>calc!F46&amp;""</f>
        <v/>
      </c>
      <c r="K40" s="37" t="str">
        <f>_xlfn.LET(_xlpm.x,INDEX(EnterData_8[Competencies],MATCH(J40,EnterData_8[Competency Num],0),1),IF(ISERROR(_xlpm.x),"",_xlpm.x))</f>
        <v/>
      </c>
      <c r="L40" s="294"/>
      <c r="M40" s="295"/>
      <c r="N40" s="296"/>
      <c r="O40" s="296"/>
      <c r="P40" s="20"/>
      <c r="Q40" s="20"/>
      <c r="R40" s="20"/>
      <c r="S40" s="20"/>
    </row>
    <row r="41" spans="1:19" ht="29" x14ac:dyDescent="0.35">
      <c r="A41" s="8">
        <v>35</v>
      </c>
      <c r="B41" s="27" t="s">
        <v>73</v>
      </c>
      <c r="C41" s="4" t="s">
        <v>74</v>
      </c>
      <c r="D41" s="58"/>
      <c r="E41" s="5" t="str">
        <f>EnterData_4[[#This Row],[Essential]]&amp;""</f>
        <v>Y</v>
      </c>
      <c r="F41" s="289"/>
      <c r="G41" s="53"/>
      <c r="H41" s="27" t="s">
        <v>93</v>
      </c>
      <c r="J41" s="38" t="str">
        <f>calc!F47&amp;""</f>
        <v/>
      </c>
      <c r="K41" s="37" t="str">
        <f>_xlfn.LET(_xlpm.x,INDEX(EnterData_8[Competencies],MATCH(J41,EnterData_8[Competency Num],0),1),IF(ISERROR(_xlpm.x),"",_xlpm.x))</f>
        <v/>
      </c>
      <c r="L41" s="294"/>
      <c r="M41" s="295"/>
      <c r="N41" s="296"/>
      <c r="O41" s="296"/>
      <c r="P41" s="20"/>
      <c r="Q41" s="20"/>
      <c r="R41" s="20"/>
      <c r="S41" s="20"/>
    </row>
    <row r="42" spans="1:19" ht="43.5" x14ac:dyDescent="0.35">
      <c r="A42" s="9">
        <v>36</v>
      </c>
      <c r="B42" s="29" t="s">
        <v>75</v>
      </c>
      <c r="C42" s="42" t="s">
        <v>76</v>
      </c>
      <c r="D42" s="59"/>
      <c r="E42" s="30" t="str">
        <f>EnterData_4[[#This Row],[Essential]]&amp;""</f>
        <v>N</v>
      </c>
      <c r="F42" s="290"/>
      <c r="G42" s="54"/>
      <c r="H42" s="29" t="s">
        <v>93</v>
      </c>
      <c r="J42" s="38" t="str">
        <f>calc!F48&amp;""</f>
        <v/>
      </c>
      <c r="K42" s="37" t="str">
        <f>_xlfn.LET(_xlpm.x,INDEX(EnterData_8[Competencies],MATCH(J42,EnterData_8[Competency Num],0),1),IF(ISERROR(_xlpm.x),"",_xlpm.x))</f>
        <v/>
      </c>
      <c r="L42" s="294"/>
      <c r="M42" s="295"/>
      <c r="N42" s="296"/>
      <c r="O42" s="296"/>
      <c r="P42" s="20"/>
      <c r="Q42" s="20"/>
      <c r="R42" s="20"/>
      <c r="S42" s="20"/>
    </row>
    <row r="43" spans="1:19" x14ac:dyDescent="0.35">
      <c r="A43" s="20"/>
      <c r="B43" s="55"/>
      <c r="C43" s="51"/>
      <c r="D43" s="10"/>
      <c r="E43" s="10"/>
      <c r="F43" s="20"/>
      <c r="G43" s="20"/>
      <c r="H43" s="20"/>
      <c r="I43" s="20"/>
      <c r="J43" s="20"/>
      <c r="K43" s="20"/>
      <c r="L43" s="20"/>
      <c r="M43" s="20"/>
      <c r="N43" s="20"/>
      <c r="O43" s="20"/>
      <c r="P43" s="20"/>
      <c r="Q43" s="20"/>
      <c r="R43" s="20"/>
      <c r="S43" s="20"/>
    </row>
    <row r="44" spans="1:19" x14ac:dyDescent="0.35">
      <c r="A44" s="20"/>
      <c r="B44" s="56" t="s">
        <v>77</v>
      </c>
      <c r="C44" s="74" t="s">
        <v>78</v>
      </c>
      <c r="D44" s="11" t="s">
        <v>79</v>
      </c>
      <c r="E44" s="65" t="s">
        <v>80</v>
      </c>
      <c r="F44" s="65"/>
      <c r="G44" s="20"/>
      <c r="H44" s="20"/>
      <c r="I44" s="20"/>
      <c r="J44" s="20"/>
      <c r="K44" s="20"/>
      <c r="L44" s="20"/>
      <c r="M44" s="20"/>
      <c r="N44" s="20"/>
      <c r="O44" s="20"/>
      <c r="P44" s="20"/>
      <c r="Q44" s="20"/>
      <c r="R44" s="20"/>
      <c r="S44" s="20"/>
    </row>
    <row r="45" spans="1:19" x14ac:dyDescent="0.35">
      <c r="A45" s="20"/>
      <c r="B45" s="23" t="s">
        <v>89</v>
      </c>
      <c r="C45" s="75" t="s">
        <v>191</v>
      </c>
      <c r="D45" s="12" cm="1">
        <f t="array" ref="D45:D47">_xlfn.ANCHORARRAY(D50)+_xlfn.ANCHORARRAY(D55)+_xlfn.ANCHORARRAY(D60)</f>
        <v>0</v>
      </c>
      <c r="E45" s="66" cm="1">
        <f t="array" ref="E45:E47">_xlfn.ANCHORARRAY(E50)+_xlfn.ANCHORARRAY(E55)+_xlfn.ANCHORARRAY(E60)</f>
        <v>0</v>
      </c>
      <c r="F45" s="66"/>
      <c r="G45" s="20"/>
      <c r="H45" s="20"/>
      <c r="I45" s="20"/>
      <c r="J45" s="20"/>
      <c r="K45" s="20"/>
      <c r="L45" s="20"/>
      <c r="M45" s="20"/>
      <c r="N45" s="20"/>
      <c r="O45" s="20"/>
      <c r="P45" s="20"/>
      <c r="Q45" s="20"/>
      <c r="R45" s="20"/>
      <c r="S45" s="20"/>
    </row>
    <row r="46" spans="1:19" x14ac:dyDescent="0.35">
      <c r="A46" s="20"/>
      <c r="B46" s="23" t="s">
        <v>88</v>
      </c>
      <c r="C46" s="76" t="s">
        <v>193</v>
      </c>
      <c r="D46" s="13">
        <v>0</v>
      </c>
      <c r="E46" s="67">
        <v>0</v>
      </c>
      <c r="F46" s="67"/>
      <c r="G46" s="20"/>
      <c r="H46" s="20"/>
      <c r="I46" s="20"/>
      <c r="J46" s="20"/>
      <c r="K46" s="20"/>
      <c r="L46" s="20"/>
      <c r="M46" s="20"/>
      <c r="N46" s="20"/>
      <c r="O46" s="20"/>
      <c r="P46" s="20"/>
      <c r="Q46" s="20"/>
      <c r="R46" s="20"/>
      <c r="S46" s="20"/>
    </row>
    <row r="47" spans="1:19" x14ac:dyDescent="0.35">
      <c r="A47" s="20"/>
      <c r="B47" s="23" t="s">
        <v>87</v>
      </c>
      <c r="C47" s="77" t="s">
        <v>195</v>
      </c>
      <c r="D47" s="14">
        <v>0</v>
      </c>
      <c r="E47" s="68">
        <v>0</v>
      </c>
      <c r="F47" s="68"/>
      <c r="G47" s="20"/>
      <c r="H47" s="20"/>
      <c r="I47" s="20"/>
      <c r="J47" s="20"/>
      <c r="K47" s="20"/>
      <c r="L47" s="20"/>
      <c r="M47" s="20"/>
      <c r="N47" s="20"/>
      <c r="O47" s="20"/>
      <c r="P47" s="20"/>
      <c r="Q47" s="20"/>
      <c r="R47" s="20"/>
      <c r="S47" s="20"/>
    </row>
    <row r="48" spans="1:19" x14ac:dyDescent="0.35">
      <c r="A48" s="20"/>
      <c r="B48" s="15"/>
      <c r="C48" s="78"/>
      <c r="D48" s="15"/>
      <c r="E48" s="69"/>
      <c r="F48" s="69"/>
      <c r="G48" s="20"/>
      <c r="H48" s="20"/>
      <c r="I48" s="20"/>
      <c r="J48" s="20"/>
      <c r="K48" s="20"/>
      <c r="L48" s="20"/>
      <c r="M48" s="20"/>
      <c r="N48" s="20"/>
      <c r="O48" s="20"/>
      <c r="P48" s="20"/>
      <c r="Q48" s="20"/>
      <c r="R48" s="20"/>
      <c r="S48" s="20"/>
    </row>
    <row r="49" spans="1:19" x14ac:dyDescent="0.35">
      <c r="A49" s="20"/>
      <c r="B49" s="15"/>
      <c r="C49" s="79" t="s">
        <v>81</v>
      </c>
      <c r="D49" s="16" t="s">
        <v>79</v>
      </c>
      <c r="E49" s="70" t="s">
        <v>80</v>
      </c>
      <c r="F49" s="70"/>
      <c r="G49" s="20"/>
      <c r="H49" s="20"/>
      <c r="I49" s="20"/>
      <c r="J49" s="20"/>
      <c r="K49" s="20"/>
      <c r="L49" s="20"/>
      <c r="M49" s="20"/>
      <c r="N49" s="20"/>
      <c r="O49" s="20"/>
      <c r="P49" s="20"/>
      <c r="Q49" s="20"/>
      <c r="R49" s="20"/>
      <c r="S49" s="20"/>
    </row>
    <row r="50" spans="1:19" x14ac:dyDescent="0.35">
      <c r="A50" s="20"/>
      <c r="B50" s="15"/>
      <c r="C50" s="75" t="s">
        <v>191</v>
      </c>
      <c r="D50" s="12" cm="1">
        <f t="array" ref="D50:D52">COUNTIFS(D$7:D$42,$B$45:$B$47,EnterData_5[Component],"FD")</f>
        <v>0</v>
      </c>
      <c r="E50" s="66" cm="1">
        <f t="array" ref="E50:E52">COUNTIFS(D$7:D$42,$B$45:$B$47,EnterData_5[Component],"FD",E$7:E$42,"Y")</f>
        <v>0</v>
      </c>
      <c r="F50" s="66"/>
      <c r="G50" s="20"/>
      <c r="H50" s="20"/>
      <c r="I50" s="20"/>
      <c r="J50" s="20"/>
      <c r="K50" s="20"/>
      <c r="L50" s="20"/>
      <c r="M50" s="20"/>
      <c r="N50" s="20"/>
      <c r="O50" s="20"/>
      <c r="P50" s="20"/>
      <c r="Q50" s="20"/>
      <c r="R50" s="20"/>
      <c r="S50" s="20"/>
    </row>
    <row r="51" spans="1:19" x14ac:dyDescent="0.35">
      <c r="A51" s="20"/>
      <c r="B51" s="15"/>
      <c r="C51" s="76" t="s">
        <v>193</v>
      </c>
      <c r="D51" s="13">
        <v>0</v>
      </c>
      <c r="E51" s="67">
        <v>0</v>
      </c>
      <c r="F51" s="67"/>
      <c r="G51" s="20"/>
      <c r="H51" s="20"/>
      <c r="I51" s="20"/>
      <c r="J51" s="20"/>
      <c r="K51" s="20"/>
      <c r="L51" s="20"/>
      <c r="M51" s="20"/>
      <c r="N51" s="20"/>
      <c r="O51" s="20"/>
      <c r="P51" s="20"/>
      <c r="Q51" s="20"/>
      <c r="R51" s="20"/>
      <c r="S51" s="20"/>
    </row>
    <row r="52" spans="1:19" x14ac:dyDescent="0.35">
      <c r="A52" s="20"/>
      <c r="B52" s="15"/>
      <c r="C52" s="77" t="s">
        <v>195</v>
      </c>
      <c r="D52" s="14">
        <v>0</v>
      </c>
      <c r="E52" s="68">
        <v>0</v>
      </c>
      <c r="F52" s="68"/>
      <c r="G52" s="20"/>
      <c r="H52" s="20"/>
      <c r="I52" s="20"/>
      <c r="J52" s="20"/>
      <c r="K52" s="20"/>
      <c r="L52" s="20"/>
      <c r="M52" s="20"/>
      <c r="N52" s="20"/>
      <c r="O52" s="20"/>
      <c r="P52" s="20"/>
      <c r="Q52" s="20"/>
      <c r="R52" s="20"/>
      <c r="S52" s="20"/>
    </row>
    <row r="53" spans="1:19" x14ac:dyDescent="0.35">
      <c r="A53" s="20"/>
      <c r="B53" s="15"/>
      <c r="C53" s="78"/>
      <c r="D53" s="15"/>
      <c r="E53" s="69"/>
      <c r="F53" s="69"/>
      <c r="G53" s="20"/>
      <c r="H53" s="20"/>
      <c r="I53" s="20"/>
      <c r="J53" s="20"/>
      <c r="K53" s="20"/>
      <c r="L53" s="20"/>
      <c r="M53" s="20"/>
      <c r="N53" s="20"/>
      <c r="O53" s="20"/>
      <c r="P53" s="20"/>
      <c r="Q53" s="20"/>
      <c r="R53" s="20"/>
      <c r="S53" s="20"/>
    </row>
    <row r="54" spans="1:19" x14ac:dyDescent="0.35">
      <c r="A54" s="20"/>
      <c r="B54" s="15"/>
      <c r="C54" s="80" t="s">
        <v>82</v>
      </c>
      <c r="D54" s="17" t="s">
        <v>79</v>
      </c>
      <c r="E54" s="71" t="s">
        <v>80</v>
      </c>
      <c r="F54" s="71"/>
      <c r="G54" s="20"/>
      <c r="H54" s="20"/>
      <c r="I54" s="20"/>
      <c r="J54" s="20"/>
      <c r="K54" s="20"/>
      <c r="L54" s="20"/>
      <c r="M54" s="20"/>
      <c r="N54" s="20"/>
      <c r="O54" s="20"/>
      <c r="P54" s="20"/>
      <c r="Q54" s="20"/>
      <c r="R54" s="20"/>
      <c r="S54" s="20"/>
    </row>
    <row r="55" spans="1:19" x14ac:dyDescent="0.35">
      <c r="A55" s="20"/>
      <c r="B55" s="15"/>
      <c r="C55" s="75" t="s">
        <v>191</v>
      </c>
      <c r="D55" s="12" cm="1">
        <f t="array" ref="D55:D57">COUNTIFS(D$7:D$42,$B$45:$B$47,EnterData_5[Component],"IN")</f>
        <v>0</v>
      </c>
      <c r="E55" s="66" cm="1">
        <f t="array" ref="E55:E57">COUNTIFS(D$7:D$42,$B$45:$B$47,EnterData_5[Component],"IN",E$7:E$42,"Y")</f>
        <v>0</v>
      </c>
      <c r="F55" s="66"/>
      <c r="G55" s="20"/>
      <c r="H55" s="20"/>
      <c r="I55" s="20"/>
      <c r="J55" s="20"/>
      <c r="K55" s="20"/>
      <c r="L55" s="20"/>
      <c r="M55" s="20"/>
      <c r="N55" s="20"/>
      <c r="O55" s="20"/>
      <c r="P55" s="20"/>
      <c r="Q55" s="20"/>
      <c r="R55" s="20"/>
      <c r="S55" s="20"/>
    </row>
    <row r="56" spans="1:19" x14ac:dyDescent="0.35">
      <c r="A56" s="20"/>
      <c r="B56" s="15"/>
      <c r="C56" s="76" t="s">
        <v>193</v>
      </c>
      <c r="D56" s="13">
        <v>0</v>
      </c>
      <c r="E56" s="67">
        <v>0</v>
      </c>
      <c r="F56" s="67"/>
      <c r="G56" s="20"/>
      <c r="H56" s="20"/>
      <c r="I56" s="20"/>
      <c r="J56" s="20"/>
      <c r="K56" s="20"/>
      <c r="L56" s="20"/>
      <c r="M56" s="20"/>
      <c r="N56" s="20"/>
      <c r="O56" s="20"/>
      <c r="P56" s="20"/>
      <c r="Q56" s="20"/>
      <c r="R56" s="20"/>
      <c r="S56" s="20"/>
    </row>
    <row r="57" spans="1:19" x14ac:dyDescent="0.35">
      <c r="A57" s="20"/>
      <c r="B57" s="15"/>
      <c r="C57" s="77" t="s">
        <v>195</v>
      </c>
      <c r="D57" s="14">
        <v>0</v>
      </c>
      <c r="E57" s="68">
        <v>0</v>
      </c>
      <c r="F57" s="68"/>
      <c r="G57" s="20"/>
      <c r="H57" s="20"/>
      <c r="I57" s="20"/>
      <c r="J57" s="20"/>
      <c r="K57" s="20"/>
      <c r="L57" s="20"/>
      <c r="M57" s="20"/>
      <c r="N57" s="20"/>
      <c r="O57" s="20"/>
      <c r="P57" s="20"/>
      <c r="Q57" s="20"/>
      <c r="R57" s="20"/>
      <c r="S57" s="20"/>
    </row>
    <row r="58" spans="1:19" x14ac:dyDescent="0.35">
      <c r="A58" s="20"/>
      <c r="B58" s="15"/>
      <c r="C58" s="78"/>
      <c r="D58" s="15"/>
      <c r="E58" s="69"/>
      <c r="F58" s="69"/>
      <c r="G58" s="20"/>
      <c r="H58" s="20"/>
      <c r="I58" s="20"/>
      <c r="J58" s="20"/>
      <c r="K58" s="20"/>
      <c r="L58" s="20"/>
      <c r="M58" s="20"/>
      <c r="N58" s="20"/>
      <c r="O58" s="20"/>
      <c r="P58" s="20"/>
      <c r="Q58" s="20"/>
      <c r="R58" s="20"/>
      <c r="S58" s="20"/>
    </row>
    <row r="59" spans="1:19" x14ac:dyDescent="0.35">
      <c r="A59" s="20"/>
      <c r="B59" s="15"/>
      <c r="C59" s="81" t="s">
        <v>83</v>
      </c>
      <c r="D59" s="18" t="s">
        <v>79</v>
      </c>
      <c r="E59" s="72" t="s">
        <v>80</v>
      </c>
      <c r="F59" s="72"/>
      <c r="G59" s="20"/>
      <c r="H59" s="20"/>
      <c r="I59" s="20"/>
      <c r="J59" s="20"/>
      <c r="K59" s="20"/>
      <c r="L59" s="20"/>
      <c r="M59" s="20"/>
      <c r="N59" s="20"/>
      <c r="O59" s="20"/>
      <c r="P59" s="20"/>
      <c r="Q59" s="20"/>
      <c r="R59" s="20"/>
      <c r="S59" s="20"/>
    </row>
    <row r="60" spans="1:19" x14ac:dyDescent="0.35">
      <c r="A60" s="20"/>
      <c r="B60" s="15"/>
      <c r="C60" s="75" t="s">
        <v>191</v>
      </c>
      <c r="D60" s="19" cm="1">
        <f t="array" ref="D60:D62">COUNTIFS(D$7:D$42,$B$45:$B$47,EnterData_5[Component],"DC")</f>
        <v>0</v>
      </c>
      <c r="E60" s="73" cm="1">
        <f t="array" ref="E60:E62">COUNTIFS(D$7:D$42,$B$45:$B$47,EnterData_5[Component],"DC",E$7:E$42,"Y")</f>
        <v>0</v>
      </c>
      <c r="F60" s="73"/>
      <c r="G60" s="20"/>
      <c r="H60" s="20"/>
      <c r="I60" s="20"/>
      <c r="J60" s="20"/>
      <c r="K60" s="20"/>
      <c r="L60" s="20"/>
      <c r="M60" s="20"/>
      <c r="N60" s="20"/>
      <c r="O60" s="20"/>
      <c r="P60" s="20"/>
      <c r="Q60" s="20"/>
      <c r="R60" s="20"/>
      <c r="S60" s="20"/>
    </row>
    <row r="61" spans="1:19" x14ac:dyDescent="0.35">
      <c r="A61" s="20"/>
      <c r="B61" s="15"/>
      <c r="C61" s="76" t="s">
        <v>193</v>
      </c>
      <c r="D61" s="13">
        <v>0</v>
      </c>
      <c r="E61" s="67">
        <v>0</v>
      </c>
      <c r="F61" s="67"/>
      <c r="G61" s="20"/>
      <c r="H61" s="20"/>
      <c r="I61" s="20"/>
      <c r="J61" s="20"/>
      <c r="K61" s="20"/>
      <c r="L61" s="20"/>
      <c r="M61" s="20"/>
      <c r="N61" s="20"/>
      <c r="O61" s="20"/>
      <c r="P61" s="20"/>
      <c r="Q61" s="20"/>
      <c r="R61" s="20"/>
      <c r="S61" s="20"/>
    </row>
    <row r="62" spans="1:19" x14ac:dyDescent="0.35">
      <c r="A62" s="20"/>
      <c r="B62" s="15"/>
      <c r="C62" s="77" t="s">
        <v>195</v>
      </c>
      <c r="D62" s="14">
        <v>0</v>
      </c>
      <c r="E62" s="68">
        <v>0</v>
      </c>
      <c r="F62" s="68"/>
      <c r="G62" s="20"/>
      <c r="H62" s="20"/>
      <c r="I62" s="20"/>
      <c r="J62" s="20"/>
      <c r="K62" s="20"/>
      <c r="L62" s="20"/>
      <c r="M62" s="20"/>
      <c r="N62" s="20"/>
      <c r="O62" s="20"/>
      <c r="P62" s="20"/>
      <c r="Q62" s="20"/>
      <c r="R62" s="20"/>
      <c r="S62" s="20"/>
    </row>
    <row r="63" spans="1:19" x14ac:dyDescent="0.35">
      <c r="A63" s="283" t="s">
        <v>150</v>
      </c>
      <c r="B63" s="20"/>
      <c r="C63" s="20"/>
      <c r="D63" s="20"/>
      <c r="E63" s="20"/>
      <c r="F63" s="20"/>
      <c r="G63" s="20"/>
      <c r="H63" s="20"/>
      <c r="I63" s="20"/>
      <c r="J63" s="20"/>
      <c r="K63" s="20"/>
      <c r="L63" s="20"/>
      <c r="M63" s="20"/>
      <c r="N63" s="20"/>
      <c r="O63" s="20"/>
      <c r="P63" s="20"/>
      <c r="Q63" s="20"/>
      <c r="R63" s="20"/>
      <c r="S63" s="20"/>
    </row>
    <row r="64" spans="1:19" x14ac:dyDescent="0.35">
      <c r="A64" s="20"/>
      <c r="B64" s="20"/>
      <c r="C64" s="20"/>
      <c r="D64" s="20"/>
      <c r="E64" s="20"/>
      <c r="F64" s="20"/>
      <c r="G64" s="20"/>
      <c r="H64" s="20"/>
      <c r="I64" s="20"/>
      <c r="J64" s="20"/>
      <c r="K64" s="20"/>
    </row>
    <row r="65" spans="1:11" x14ac:dyDescent="0.35">
      <c r="A65" s="20"/>
      <c r="B65" s="20"/>
      <c r="C65" s="20"/>
      <c r="D65" s="20"/>
      <c r="E65" s="20"/>
      <c r="F65" s="20"/>
      <c r="G65" s="20"/>
      <c r="H65" s="20"/>
      <c r="I65" s="20"/>
      <c r="J65" s="20"/>
      <c r="K65" s="20"/>
    </row>
    <row r="66" spans="1:11" x14ac:dyDescent="0.35">
      <c r="A66" s="20"/>
      <c r="B66" s="20"/>
      <c r="C66" s="20"/>
      <c r="D66" s="20"/>
      <c r="E66" s="20"/>
      <c r="F66" s="20"/>
      <c r="G66" s="20"/>
      <c r="H66" s="20"/>
      <c r="I66" s="20"/>
      <c r="J66" s="20"/>
      <c r="K66" s="20"/>
    </row>
  </sheetData>
  <sheetProtection sheet="1" formatCells="0" formatColumns="0" formatRows="0"/>
  <conditionalFormatting sqref="F7:F42">
    <cfRule type="expression" dxfId="81" priority="2">
      <formula>OR(D7="Min comp",D7="Comp")</formula>
    </cfRule>
  </conditionalFormatting>
  <conditionalFormatting sqref="J7:J42">
    <cfRule type="expression" dxfId="80" priority="4">
      <formula>$J7&lt;&gt;""</formula>
    </cfRule>
    <cfRule type="expression" dxfId="79" priority="8">
      <formula>LEFT($J7)="F"</formula>
    </cfRule>
    <cfRule type="expression" dxfId="78" priority="9">
      <formula>LEFT($J7)="I"</formula>
    </cfRule>
    <cfRule type="expression" dxfId="77" priority="14">
      <formula>LEFT($J7)="D"</formula>
    </cfRule>
  </conditionalFormatting>
  <conditionalFormatting sqref="J7:O42">
    <cfRule type="expression" dxfId="76" priority="5">
      <formula>AND($J7&lt;&gt;"",$J8="")</formula>
    </cfRule>
    <cfRule type="expression" dxfId="75" priority="6">
      <formula>$J7&lt;&gt;""</formula>
    </cfRule>
  </conditionalFormatting>
  <conditionalFormatting sqref="L7:O42">
    <cfRule type="expression" dxfId="74" priority="7">
      <formula>$J7&lt;&gt;""</formula>
    </cfRule>
  </conditionalFormatting>
  <conditionalFormatting sqref="O7:O42">
    <cfRule type="expression" dxfId="73" priority="3">
      <formula>$J7&lt;&gt;""</formula>
    </cfRule>
  </conditionalFormatting>
  <dataValidations count="4">
    <dataValidation type="list" allowBlank="1" showInputMessage="1" showErrorMessage="1" sqref="D7:D42" xr:uid="{9190D9E7-B4F9-4C24-9EF0-B1E000A4B547}">
      <formula1>"Min comp, Comp, Hi comp"</formula1>
    </dataValidation>
    <dataValidation type="list" allowBlank="1" showInputMessage="1" showErrorMessage="1" sqref="L7:L42" xr:uid="{33D64BBE-C44C-4F87-ADED-C87A599E5EB9}">
      <formula1>"yes,no"</formula1>
    </dataValidation>
    <dataValidation type="list" allowBlank="1" showInputMessage="1" showErrorMessage="1" sqref="F7:F42" xr:uid="{607797BF-8D1A-4AB2-BB14-B843251046C1}">
      <formula1>"Y,N"</formula1>
    </dataValidation>
    <dataValidation type="list" allowBlank="1" showInputMessage="1" showErrorMessage="1" sqref="E7:E42" xr:uid="{44349A4F-196C-4141-9DB8-C98D71B015F0}">
      <formula1>"Y,N,?"</formula1>
    </dataValidation>
  </dataValidations>
  <pageMargins left="0.7" right="0.7" top="0.75" bottom="0.75" header="0.3" footer="0.3"/>
  <pageSetup scale="61" fitToHeight="0" orientation="landscape" horizontalDpi="4294967293" verticalDpi="0" r:id="rId1"/>
  <headerFooter>
    <oddHeader>&amp;LLearning Plan 5&amp;RPrinted on: &amp;D</oddHeader>
    <oddFooter>&amp;CPage &amp;P of &amp;N</oddFooter>
  </headerFooter>
  <legacyDrawing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52A6C8F8-D781-4965-9C99-02825346706E}">
            <xm:f>OR('SA1'!$G$3="",$G$4="")</xm:f>
            <x14:dxf>
              <font>
                <color theme="0"/>
              </font>
              <fill>
                <patternFill>
                  <bgColor theme="0"/>
                </patternFill>
              </fill>
              <border>
                <left style="thin">
                  <color theme="0"/>
                </left>
                <right style="thin">
                  <color theme="0"/>
                </right>
                <top style="thin">
                  <color theme="0"/>
                </top>
                <bottom style="thin">
                  <color theme="0"/>
                </bottom>
                <vertical/>
                <horizontal/>
              </border>
            </x14:dxf>
          </x14:cfRule>
          <xm:sqref>A5:O42</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42E0C-9684-45C6-AD6B-E35CD321CCBC}">
  <sheetPr>
    <tabColor rgb="FFFFFFCC"/>
    <pageSetUpPr fitToPage="1"/>
  </sheetPr>
  <dimension ref="A1:S66"/>
  <sheetViews>
    <sheetView showGridLines="0" zoomScaleNormal="100" workbookViewId="0">
      <pane ySplit="6" topLeftCell="A7" activePane="bottomLeft" state="frozen"/>
      <selection activeCell="G4" sqref="G4"/>
      <selection pane="bottomLeft"/>
    </sheetView>
  </sheetViews>
  <sheetFormatPr defaultRowHeight="14.5" x14ac:dyDescent="0.35"/>
  <cols>
    <col min="1" max="1" width="7.26953125" customWidth="1"/>
    <col min="2" max="2" width="12.54296875" style="22" customWidth="1"/>
    <col min="3" max="3" width="54.08984375" style="22" customWidth="1"/>
    <col min="4" max="4" width="10.1796875" customWidth="1"/>
    <col min="5" max="5" width="8.453125" customWidth="1"/>
    <col min="6" max="6" width="7.90625" customWidth="1"/>
    <col min="7" max="7" width="36.36328125" customWidth="1"/>
    <col min="8" max="8" width="0" hidden="1" customWidth="1"/>
    <col min="9" max="9" width="2.26953125" customWidth="1"/>
    <col min="10" max="10" width="7.26953125" customWidth="1"/>
    <col min="11" max="11" width="85.1796875" style="22" customWidth="1"/>
    <col min="12" max="12" width="14.453125" customWidth="1"/>
    <col min="13" max="13" width="44.453125" customWidth="1"/>
    <col min="14" max="14" width="16" style="44" customWidth="1"/>
    <col min="15" max="15" width="30.54296875" customWidth="1"/>
    <col min="16" max="16" width="1.453125" customWidth="1"/>
  </cols>
  <sheetData>
    <row r="1" spans="1:19" s="270" customFormat="1" ht="10.5" x14ac:dyDescent="0.25">
      <c r="A1" s="271" t="s">
        <v>113</v>
      </c>
      <c r="B1" s="272"/>
      <c r="C1" s="272"/>
      <c r="K1" s="272"/>
      <c r="N1" s="273"/>
    </row>
    <row r="2" spans="1:19" x14ac:dyDescent="0.35">
      <c r="A2" s="245" t="str">
        <f>IF('SA1'!$G$3="","You must enter a name (or role) in worksheet SA1, cell G3 to activate the workbook.",IF($G$4="","You must enter a Date of Self Assessment in G4 to activate this worksheet.",""))</f>
        <v>You must enter a Date of Self Assessment in G4 to activate this worksheet.</v>
      </c>
    </row>
    <row r="3" spans="1:19" x14ac:dyDescent="0.35">
      <c r="G3" s="314"/>
    </row>
    <row r="4" spans="1:19" ht="20.5" thickBot="1" x14ac:dyDescent="0.4">
      <c r="A4" s="31" t="s">
        <v>121</v>
      </c>
      <c r="B4" s="32"/>
      <c r="C4" s="32"/>
      <c r="F4" s="33" t="s">
        <v>105</v>
      </c>
      <c r="G4" s="285"/>
      <c r="J4" s="31" t="s">
        <v>115</v>
      </c>
      <c r="K4" s="32"/>
      <c r="M4" s="33" t="s">
        <v>97</v>
      </c>
      <c r="N4" s="285"/>
      <c r="O4" s="34"/>
      <c r="P4" s="35"/>
    </row>
    <row r="5" spans="1:19" x14ac:dyDescent="0.35">
      <c r="J5" s="36" t="str">
        <f>calc!G10</f>
        <v>Please complete 36 Rating(s) in column D before using the Learning Plan.</v>
      </c>
      <c r="K5" s="37"/>
      <c r="L5" s="38"/>
      <c r="M5" s="38"/>
      <c r="N5" s="43"/>
      <c r="O5" s="39"/>
      <c r="P5" s="38"/>
    </row>
    <row r="6" spans="1:19" ht="43.5" x14ac:dyDescent="0.35">
      <c r="A6" s="45" t="s">
        <v>94</v>
      </c>
      <c r="B6" s="46" t="s">
        <v>0</v>
      </c>
      <c r="C6" s="47" t="s">
        <v>1</v>
      </c>
      <c r="D6" s="48" t="s">
        <v>84</v>
      </c>
      <c r="E6" s="45" t="s">
        <v>85</v>
      </c>
      <c r="F6" s="45" t="s">
        <v>86</v>
      </c>
      <c r="G6" s="49" t="s">
        <v>95</v>
      </c>
      <c r="H6" s="50" t="s">
        <v>90</v>
      </c>
      <c r="J6" s="60" t="s">
        <v>98</v>
      </c>
      <c r="K6" s="61" t="s">
        <v>1</v>
      </c>
      <c r="L6" s="62" t="s">
        <v>99</v>
      </c>
      <c r="M6" s="62" t="s">
        <v>100</v>
      </c>
      <c r="N6" s="291" t="s">
        <v>101</v>
      </c>
      <c r="O6" s="63" t="s">
        <v>95</v>
      </c>
      <c r="P6" s="38"/>
    </row>
    <row r="7" spans="1:19" ht="18.5" x14ac:dyDescent="0.35">
      <c r="A7" s="1">
        <v>1</v>
      </c>
      <c r="B7" s="24" t="s">
        <v>2</v>
      </c>
      <c r="C7" s="21" t="s">
        <v>3</v>
      </c>
      <c r="D7" s="57"/>
      <c r="E7" s="2" t="str">
        <f>EnterData_5[[#This Row],[Essential]]&amp;""</f>
        <v>Y</v>
      </c>
      <c r="F7" s="288"/>
      <c r="G7" s="52"/>
      <c r="H7" s="24" t="s">
        <v>91</v>
      </c>
      <c r="J7" s="38" t="str">
        <f>calc!G13&amp;""</f>
        <v/>
      </c>
      <c r="K7" s="37" t="str">
        <f>_xlfn.LET(_xlpm.x,INDEX(EnterData_8[Competencies],MATCH(J7,EnterData_8[Competency Num],0),1),IF(ISERROR(_xlpm.x),"",_xlpm.x))</f>
        <v/>
      </c>
      <c r="L7" s="294"/>
      <c r="M7" s="295"/>
      <c r="N7" s="296"/>
      <c r="O7" s="296"/>
      <c r="P7" s="20"/>
      <c r="Q7" s="20"/>
      <c r="R7" s="20"/>
      <c r="S7" s="20"/>
    </row>
    <row r="8" spans="1:19" ht="29" x14ac:dyDescent="0.35">
      <c r="A8" s="3">
        <v>2</v>
      </c>
      <c r="B8" s="25" t="s">
        <v>5</v>
      </c>
      <c r="C8" s="4" t="s">
        <v>6</v>
      </c>
      <c r="D8" s="58"/>
      <c r="E8" s="5" t="str">
        <f>EnterData_5[[#This Row],[Essential]]&amp;""</f>
        <v>Y</v>
      </c>
      <c r="F8" s="289"/>
      <c r="G8" s="53"/>
      <c r="H8" s="25" t="s">
        <v>91</v>
      </c>
      <c r="J8" s="38" t="str">
        <f>calc!G14&amp;""</f>
        <v/>
      </c>
      <c r="K8" s="37" t="str">
        <f>_xlfn.LET(_xlpm.x,INDEX(EnterData_8[Competencies],MATCH(J8,EnterData_8[Competency Num],0),1),IF(ISERROR(_xlpm.x),"",_xlpm.x))</f>
        <v/>
      </c>
      <c r="L8" s="294"/>
      <c r="M8" s="295"/>
      <c r="N8" s="296"/>
      <c r="O8" s="296"/>
      <c r="P8" s="20"/>
      <c r="Q8" s="20"/>
      <c r="R8" s="20"/>
      <c r="S8" s="20"/>
    </row>
    <row r="9" spans="1:19" ht="72.5" x14ac:dyDescent="0.35">
      <c r="A9" s="3">
        <v>3</v>
      </c>
      <c r="B9" s="25" t="s">
        <v>8</v>
      </c>
      <c r="C9" s="4" t="s">
        <v>9</v>
      </c>
      <c r="D9" s="58"/>
      <c r="E9" s="5" t="str">
        <f>EnterData_5[[#This Row],[Essential]]&amp;""</f>
        <v>Y</v>
      </c>
      <c r="F9" s="289"/>
      <c r="G9" s="53"/>
      <c r="H9" s="25" t="s">
        <v>91</v>
      </c>
      <c r="J9" s="38" t="str">
        <f>calc!G15&amp;""</f>
        <v/>
      </c>
      <c r="K9" s="37" t="str">
        <f>_xlfn.LET(_xlpm.x,INDEX(EnterData_8[Competencies],MATCH(J9,EnterData_8[Competency Num],0),1),IF(ISERROR(_xlpm.x),"",_xlpm.x))</f>
        <v/>
      </c>
      <c r="L9" s="294"/>
      <c r="M9" s="295"/>
      <c r="N9" s="296"/>
      <c r="O9" s="296"/>
      <c r="P9" s="20"/>
      <c r="Q9" s="20"/>
      <c r="R9" s="20"/>
      <c r="S9" s="20"/>
    </row>
    <row r="10" spans="1:19" ht="43.5" x14ac:dyDescent="0.35">
      <c r="A10" s="3">
        <v>4</v>
      </c>
      <c r="B10" s="25" t="s">
        <v>10</v>
      </c>
      <c r="C10" s="4" t="s">
        <v>11</v>
      </c>
      <c r="D10" s="58"/>
      <c r="E10" s="5" t="str">
        <f>EnterData_5[[#This Row],[Essential]]&amp;""</f>
        <v>Y</v>
      </c>
      <c r="F10" s="289"/>
      <c r="G10" s="53"/>
      <c r="H10" s="25" t="s">
        <v>91</v>
      </c>
      <c r="J10" s="38" t="str">
        <f>calc!G16&amp;""</f>
        <v/>
      </c>
      <c r="K10" s="37" t="str">
        <f>_xlfn.LET(_xlpm.x,INDEX(EnterData_8[Competencies],MATCH(J10,EnterData_8[Competency Num],0),1),IF(ISERROR(_xlpm.x),"",_xlpm.x))</f>
        <v/>
      </c>
      <c r="L10" s="294"/>
      <c r="M10" s="295"/>
      <c r="N10" s="296"/>
      <c r="O10" s="296"/>
      <c r="P10" s="20"/>
      <c r="Q10" s="20"/>
      <c r="R10" s="20"/>
      <c r="S10" s="20"/>
    </row>
    <row r="11" spans="1:19" ht="58" x14ac:dyDescent="0.35">
      <c r="A11" s="3">
        <v>5</v>
      </c>
      <c r="B11" s="25" t="s">
        <v>12</v>
      </c>
      <c r="C11" s="4" t="s">
        <v>13</v>
      </c>
      <c r="D11" s="58"/>
      <c r="E11" s="5" t="str">
        <f>EnterData_5[[#This Row],[Essential]]&amp;""</f>
        <v>Y</v>
      </c>
      <c r="F11" s="289"/>
      <c r="G11" s="53"/>
      <c r="H11" s="25" t="s">
        <v>91</v>
      </c>
      <c r="J11" s="38" t="str">
        <f>calc!G17&amp;""</f>
        <v/>
      </c>
      <c r="K11" s="37" t="str">
        <f>_xlfn.LET(_xlpm.x,INDEX(EnterData_8[Competencies],MATCH(J11,EnterData_8[Competency Num],0),1),IF(ISERROR(_xlpm.x),"",_xlpm.x))</f>
        <v/>
      </c>
      <c r="L11" s="294"/>
      <c r="M11" s="295"/>
      <c r="N11" s="296"/>
      <c r="O11" s="296"/>
      <c r="P11" s="20"/>
      <c r="Q11" s="20"/>
      <c r="R11" s="20"/>
      <c r="S11" s="20"/>
    </row>
    <row r="12" spans="1:19" ht="43.5" x14ac:dyDescent="0.35">
      <c r="A12" s="3">
        <v>6</v>
      </c>
      <c r="B12" s="25" t="s">
        <v>15</v>
      </c>
      <c r="C12" s="4" t="s">
        <v>16</v>
      </c>
      <c r="D12" s="58"/>
      <c r="E12" s="5" t="str">
        <f>EnterData_5[[#This Row],[Essential]]&amp;""</f>
        <v>Y</v>
      </c>
      <c r="F12" s="289"/>
      <c r="G12" s="53"/>
      <c r="H12" s="25" t="s">
        <v>91</v>
      </c>
      <c r="J12" s="38" t="str">
        <f>calc!G18&amp;""</f>
        <v/>
      </c>
      <c r="K12" s="37" t="str">
        <f>_xlfn.LET(_xlpm.x,INDEX(EnterData_8[Competencies],MATCH(J12,EnterData_8[Competency Num],0),1),IF(ISERROR(_xlpm.x),"",_xlpm.x))</f>
        <v/>
      </c>
      <c r="L12" s="294"/>
      <c r="M12" s="295"/>
      <c r="N12" s="296"/>
      <c r="O12" s="296"/>
      <c r="P12" s="20"/>
      <c r="Q12" s="20"/>
      <c r="R12" s="20"/>
      <c r="S12" s="20"/>
    </row>
    <row r="13" spans="1:19" ht="58" x14ac:dyDescent="0.35">
      <c r="A13" s="3">
        <v>7</v>
      </c>
      <c r="B13" s="25" t="s">
        <v>17</v>
      </c>
      <c r="C13" s="4" t="s">
        <v>18</v>
      </c>
      <c r="D13" s="58"/>
      <c r="E13" s="5" t="str">
        <f>EnterData_5[[#This Row],[Essential]]&amp;""</f>
        <v>Y</v>
      </c>
      <c r="F13" s="289"/>
      <c r="G13" s="53"/>
      <c r="H13" s="25" t="s">
        <v>91</v>
      </c>
      <c r="J13" s="38" t="str">
        <f>calc!G19&amp;""</f>
        <v/>
      </c>
      <c r="K13" s="37" t="str">
        <f>_xlfn.LET(_xlpm.x,INDEX(EnterData_8[Competencies],MATCH(J13,EnterData_8[Competency Num],0),1),IF(ISERROR(_xlpm.x),"",_xlpm.x))</f>
        <v/>
      </c>
      <c r="L13" s="294"/>
      <c r="M13" s="295"/>
      <c r="N13" s="296"/>
      <c r="O13" s="296"/>
      <c r="P13" s="20"/>
      <c r="Q13" s="20"/>
      <c r="R13" s="20"/>
      <c r="S13" s="20"/>
    </row>
    <row r="14" spans="1:19" ht="58" x14ac:dyDescent="0.35">
      <c r="A14" s="3">
        <v>8</v>
      </c>
      <c r="B14" s="25" t="s">
        <v>19</v>
      </c>
      <c r="C14" s="4" t="s">
        <v>20</v>
      </c>
      <c r="D14" s="58"/>
      <c r="E14" s="5" t="str">
        <f>EnterData_5[[#This Row],[Essential]]&amp;""</f>
        <v>N</v>
      </c>
      <c r="F14" s="289"/>
      <c r="G14" s="53"/>
      <c r="H14" s="25" t="s">
        <v>91</v>
      </c>
      <c r="J14" s="38" t="str">
        <f>calc!G20&amp;""</f>
        <v/>
      </c>
      <c r="K14" s="37" t="str">
        <f>_xlfn.LET(_xlpm.x,INDEX(EnterData_8[Competencies],MATCH(J14,EnterData_8[Competency Num],0),1),IF(ISERROR(_xlpm.x),"",_xlpm.x))</f>
        <v/>
      </c>
      <c r="L14" s="294"/>
      <c r="M14" s="295"/>
      <c r="N14" s="296"/>
      <c r="O14" s="296"/>
      <c r="P14" s="20"/>
      <c r="Q14" s="20"/>
      <c r="R14" s="20"/>
      <c r="S14" s="20"/>
    </row>
    <row r="15" spans="1:19" ht="29" x14ac:dyDescent="0.35">
      <c r="A15" s="3">
        <v>9</v>
      </c>
      <c r="B15" s="25" t="s">
        <v>21</v>
      </c>
      <c r="C15" s="4" t="s">
        <v>22</v>
      </c>
      <c r="D15" s="58"/>
      <c r="E15" s="5" t="str">
        <f>EnterData_5[[#This Row],[Essential]]&amp;""</f>
        <v>Y</v>
      </c>
      <c r="F15" s="289"/>
      <c r="G15" s="53"/>
      <c r="H15" s="25" t="s">
        <v>91</v>
      </c>
      <c r="J15" s="38" t="str">
        <f>calc!G21&amp;""</f>
        <v/>
      </c>
      <c r="K15" s="37" t="str">
        <f>_xlfn.LET(_xlpm.x,INDEX(EnterData_8[Competencies],MATCH(J15,EnterData_8[Competency Num],0),1),IF(ISERROR(_xlpm.x),"",_xlpm.x))</f>
        <v/>
      </c>
      <c r="L15" s="294"/>
      <c r="M15" s="295"/>
      <c r="N15" s="296"/>
      <c r="O15" s="296"/>
      <c r="P15" s="20"/>
      <c r="Q15" s="20"/>
      <c r="R15" s="20"/>
      <c r="S15" s="20"/>
    </row>
    <row r="16" spans="1:19" ht="58" x14ac:dyDescent="0.35">
      <c r="A16" s="3">
        <v>10</v>
      </c>
      <c r="B16" s="319" t="s">
        <v>23</v>
      </c>
      <c r="C16" s="320" t="s">
        <v>24</v>
      </c>
      <c r="D16" s="299"/>
      <c r="E16" s="300" t="str">
        <f>EnterData_5[[#This Row],[Essential]]&amp;""</f>
        <v>Y</v>
      </c>
      <c r="F16" s="301"/>
      <c r="G16" s="302"/>
      <c r="H16" s="25" t="s">
        <v>91</v>
      </c>
      <c r="J16" s="38" t="str">
        <f>calc!G22&amp;""</f>
        <v/>
      </c>
      <c r="K16" s="37" t="str">
        <f>_xlfn.LET(_xlpm.x,INDEX(EnterData_8[Competencies],MATCH(J16,EnterData_8[Competency Num],0),1),IF(ISERROR(_xlpm.x),"",_xlpm.x))</f>
        <v/>
      </c>
      <c r="L16" s="294"/>
      <c r="M16" s="295"/>
      <c r="N16" s="296"/>
      <c r="O16" s="296"/>
      <c r="P16" s="20"/>
      <c r="Q16" s="20"/>
      <c r="R16" s="20"/>
      <c r="S16" s="20"/>
    </row>
    <row r="17" spans="1:19" ht="58" x14ac:dyDescent="0.35">
      <c r="A17" s="6">
        <v>11</v>
      </c>
      <c r="B17" s="316" t="s">
        <v>25</v>
      </c>
      <c r="C17" s="317" t="s">
        <v>26</v>
      </c>
      <c r="D17" s="57"/>
      <c r="E17" s="2" t="str">
        <f>EnterData_5[[#This Row],[Essential]]&amp;""</f>
        <v>Y</v>
      </c>
      <c r="F17" s="288"/>
      <c r="G17" s="318"/>
      <c r="H17" s="26" t="s">
        <v>92</v>
      </c>
      <c r="J17" s="38" t="str">
        <f>calc!G23&amp;""</f>
        <v/>
      </c>
      <c r="K17" s="37" t="str">
        <f>_xlfn.LET(_xlpm.x,INDEX(EnterData_8[Competencies],MATCH(J17,EnterData_8[Competency Num],0),1),IF(ISERROR(_xlpm.x),"",_xlpm.x))</f>
        <v/>
      </c>
      <c r="L17" s="294"/>
      <c r="M17" s="295"/>
      <c r="N17" s="296"/>
      <c r="O17" s="296"/>
      <c r="P17" s="20"/>
      <c r="Q17" s="20"/>
      <c r="R17" s="20"/>
      <c r="S17" s="20"/>
    </row>
    <row r="18" spans="1:19" ht="29" x14ac:dyDescent="0.35">
      <c r="A18" s="6">
        <v>12</v>
      </c>
      <c r="B18" s="26" t="s">
        <v>27</v>
      </c>
      <c r="C18" s="7" t="s">
        <v>28</v>
      </c>
      <c r="D18" s="58"/>
      <c r="E18" s="5" t="str">
        <f>EnterData_5[[#This Row],[Essential]]&amp;""</f>
        <v>Y</v>
      </c>
      <c r="F18" s="289"/>
      <c r="G18" s="53"/>
      <c r="H18" s="26" t="s">
        <v>92</v>
      </c>
      <c r="J18" s="38" t="str">
        <f>calc!G24&amp;""</f>
        <v/>
      </c>
      <c r="K18" s="37" t="str">
        <f>_xlfn.LET(_xlpm.x,INDEX(EnterData_8[Competencies],MATCH(J18,EnterData_8[Competency Num],0),1),IF(ISERROR(_xlpm.x),"",_xlpm.x))</f>
        <v/>
      </c>
      <c r="L18" s="294"/>
      <c r="M18" s="295"/>
      <c r="N18" s="296"/>
      <c r="O18" s="296"/>
      <c r="P18" s="20"/>
      <c r="Q18" s="20"/>
      <c r="R18" s="20"/>
      <c r="S18" s="20"/>
    </row>
    <row r="19" spans="1:19" ht="43.5" x14ac:dyDescent="0.35">
      <c r="A19" s="6">
        <v>13</v>
      </c>
      <c r="B19" s="26" t="s">
        <v>29</v>
      </c>
      <c r="C19" s="7" t="s">
        <v>30</v>
      </c>
      <c r="D19" s="58"/>
      <c r="E19" s="5" t="str">
        <f>EnterData_5[[#This Row],[Essential]]&amp;""</f>
        <v>Y</v>
      </c>
      <c r="F19" s="289"/>
      <c r="G19" s="53"/>
      <c r="H19" s="26" t="s">
        <v>92</v>
      </c>
      <c r="J19" s="38" t="str">
        <f>calc!G25&amp;""</f>
        <v/>
      </c>
      <c r="K19" s="37" t="str">
        <f>_xlfn.LET(_xlpm.x,INDEX(EnterData_8[Competencies],MATCH(J19,EnterData_8[Competency Num],0),1),IF(ISERROR(_xlpm.x),"",_xlpm.x))</f>
        <v/>
      </c>
      <c r="L19" s="294"/>
      <c r="M19" s="295"/>
      <c r="N19" s="296"/>
      <c r="O19" s="296"/>
      <c r="P19" s="20"/>
      <c r="Q19" s="20"/>
      <c r="R19" s="20"/>
      <c r="S19" s="20"/>
    </row>
    <row r="20" spans="1:19" ht="43.5" x14ac:dyDescent="0.35">
      <c r="A20" s="6">
        <v>14</v>
      </c>
      <c r="B20" s="26" t="s">
        <v>31</v>
      </c>
      <c r="C20" s="7" t="s">
        <v>32</v>
      </c>
      <c r="D20" s="58"/>
      <c r="E20" s="5" t="str">
        <f>EnterData_5[[#This Row],[Essential]]&amp;""</f>
        <v>N</v>
      </c>
      <c r="F20" s="289"/>
      <c r="G20" s="53"/>
      <c r="H20" s="26" t="s">
        <v>92</v>
      </c>
      <c r="J20" s="38" t="str">
        <f>calc!G26&amp;""</f>
        <v/>
      </c>
      <c r="K20" s="37" t="str">
        <f>_xlfn.LET(_xlpm.x,INDEX(EnterData_8[Competencies],MATCH(J20,EnterData_8[Competency Num],0),1),IF(ISERROR(_xlpm.x),"",_xlpm.x))</f>
        <v/>
      </c>
      <c r="L20" s="294"/>
      <c r="M20" s="295"/>
      <c r="N20" s="296"/>
      <c r="O20" s="296"/>
      <c r="P20" s="20"/>
      <c r="Q20" s="20"/>
      <c r="R20" s="20"/>
      <c r="S20" s="20"/>
    </row>
    <row r="21" spans="1:19" ht="58" x14ac:dyDescent="0.35">
      <c r="A21" s="6">
        <v>15</v>
      </c>
      <c r="B21" s="26" t="s">
        <v>33</v>
      </c>
      <c r="C21" s="7" t="s">
        <v>34</v>
      </c>
      <c r="D21" s="58"/>
      <c r="E21" s="5" t="str">
        <f>EnterData_5[[#This Row],[Essential]]&amp;""</f>
        <v>Y</v>
      </c>
      <c r="F21" s="289"/>
      <c r="G21" s="53"/>
      <c r="H21" s="26" t="s">
        <v>92</v>
      </c>
      <c r="J21" s="38" t="str">
        <f>calc!G27&amp;""</f>
        <v/>
      </c>
      <c r="K21" s="37" t="str">
        <f>_xlfn.LET(_xlpm.x,INDEX(EnterData_8[Competencies],MATCH(J21,EnterData_8[Competency Num],0),1),IF(ISERROR(_xlpm.x),"",_xlpm.x))</f>
        <v/>
      </c>
      <c r="L21" s="294"/>
      <c r="M21" s="295"/>
      <c r="N21" s="296"/>
      <c r="O21" s="296"/>
      <c r="P21" s="20"/>
      <c r="Q21" s="20"/>
      <c r="R21" s="20"/>
      <c r="S21" s="20"/>
    </row>
    <row r="22" spans="1:19" ht="29" x14ac:dyDescent="0.35">
      <c r="A22" s="6">
        <v>16</v>
      </c>
      <c r="B22" s="26" t="s">
        <v>35</v>
      </c>
      <c r="C22" s="7" t="s">
        <v>36</v>
      </c>
      <c r="D22" s="58"/>
      <c r="E22" s="5" t="str">
        <f>EnterData_5[[#This Row],[Essential]]&amp;""</f>
        <v>Y</v>
      </c>
      <c r="F22" s="289"/>
      <c r="G22" s="53"/>
      <c r="H22" s="26" t="s">
        <v>92</v>
      </c>
      <c r="J22" s="38" t="str">
        <f>calc!G28&amp;""</f>
        <v/>
      </c>
      <c r="K22" s="37" t="str">
        <f>_xlfn.LET(_xlpm.x,INDEX(EnterData_8[Competencies],MATCH(J22,EnterData_8[Competency Num],0),1),IF(ISERROR(_xlpm.x),"",_xlpm.x))</f>
        <v/>
      </c>
      <c r="L22" s="294"/>
      <c r="M22" s="295"/>
      <c r="N22" s="296"/>
      <c r="O22" s="296"/>
      <c r="P22" s="20"/>
      <c r="Q22" s="20"/>
      <c r="R22" s="20"/>
      <c r="S22" s="20"/>
    </row>
    <row r="23" spans="1:19" ht="43.5" x14ac:dyDescent="0.35">
      <c r="A23" s="6">
        <v>17</v>
      </c>
      <c r="B23" s="26" t="s">
        <v>37</v>
      </c>
      <c r="C23" s="7" t="s">
        <v>38</v>
      </c>
      <c r="D23" s="58"/>
      <c r="E23" s="5" t="str">
        <f>EnterData_5[[#This Row],[Essential]]&amp;""</f>
        <v>Y</v>
      </c>
      <c r="F23" s="289"/>
      <c r="G23" s="53"/>
      <c r="H23" s="26" t="s">
        <v>92</v>
      </c>
      <c r="J23" s="38" t="str">
        <f>calc!G29&amp;""</f>
        <v/>
      </c>
      <c r="K23" s="37" t="str">
        <f>_xlfn.LET(_xlpm.x,INDEX(EnterData_8[Competencies],MATCH(J23,EnterData_8[Competency Num],0),1),IF(ISERROR(_xlpm.x),"",_xlpm.x))</f>
        <v/>
      </c>
      <c r="L23" s="294"/>
      <c r="M23" s="295"/>
      <c r="N23" s="296"/>
      <c r="O23" s="296"/>
      <c r="P23" s="20"/>
      <c r="Q23" s="20"/>
      <c r="R23" s="20"/>
      <c r="S23" s="20"/>
    </row>
    <row r="24" spans="1:19" ht="43.5" x14ac:dyDescent="0.35">
      <c r="A24" s="6">
        <v>18</v>
      </c>
      <c r="B24" s="26" t="s">
        <v>39</v>
      </c>
      <c r="C24" s="7" t="s">
        <v>40</v>
      </c>
      <c r="D24" s="58"/>
      <c r="E24" s="5" t="str">
        <f>EnterData_5[[#This Row],[Essential]]&amp;""</f>
        <v>N</v>
      </c>
      <c r="F24" s="289"/>
      <c r="G24" s="53"/>
      <c r="H24" s="26" t="s">
        <v>92</v>
      </c>
      <c r="J24" s="38" t="str">
        <f>calc!G30&amp;""</f>
        <v/>
      </c>
      <c r="K24" s="37" t="str">
        <f>_xlfn.LET(_xlpm.x,INDEX(EnterData_8[Competencies],MATCH(J24,EnterData_8[Competency Num],0),1),IF(ISERROR(_xlpm.x),"",_xlpm.x))</f>
        <v/>
      </c>
      <c r="L24" s="294"/>
      <c r="M24" s="295"/>
      <c r="N24" s="296"/>
      <c r="O24" s="296"/>
      <c r="P24" s="20"/>
      <c r="Q24" s="20"/>
      <c r="R24" s="20"/>
      <c r="S24" s="20"/>
    </row>
    <row r="25" spans="1:19" ht="43.5" x14ac:dyDescent="0.35">
      <c r="A25" s="6">
        <v>19</v>
      </c>
      <c r="B25" s="26" t="s">
        <v>41</v>
      </c>
      <c r="C25" s="7" t="s">
        <v>42</v>
      </c>
      <c r="D25" s="58"/>
      <c r="E25" s="5" t="str">
        <f>EnterData_5[[#This Row],[Essential]]&amp;""</f>
        <v>Y</v>
      </c>
      <c r="F25" s="289"/>
      <c r="G25" s="53"/>
      <c r="H25" s="26" t="s">
        <v>92</v>
      </c>
      <c r="J25" s="38" t="str">
        <f>calc!G31&amp;""</f>
        <v/>
      </c>
      <c r="K25" s="37" t="str">
        <f>_xlfn.LET(_xlpm.x,INDEX(EnterData_8[Competencies],MATCH(J25,EnterData_8[Competency Num],0),1),IF(ISERROR(_xlpm.x),"",_xlpm.x))</f>
        <v/>
      </c>
      <c r="L25" s="294"/>
      <c r="M25" s="295"/>
      <c r="N25" s="296"/>
      <c r="O25" s="296"/>
      <c r="P25" s="20"/>
      <c r="Q25" s="20"/>
      <c r="R25" s="20"/>
      <c r="S25" s="20"/>
    </row>
    <row r="26" spans="1:19" ht="29" x14ac:dyDescent="0.35">
      <c r="A26" s="6">
        <v>20</v>
      </c>
      <c r="B26" s="26" t="s">
        <v>43</v>
      </c>
      <c r="C26" s="7" t="s">
        <v>44</v>
      </c>
      <c r="D26" s="58"/>
      <c r="E26" s="5" t="str">
        <f>EnterData_5[[#This Row],[Essential]]&amp;""</f>
        <v>Y</v>
      </c>
      <c r="F26" s="289"/>
      <c r="G26" s="53"/>
      <c r="H26" s="26" t="s">
        <v>92</v>
      </c>
      <c r="J26" s="38" t="str">
        <f>calc!G32&amp;""</f>
        <v/>
      </c>
      <c r="K26" s="37" t="str">
        <f>_xlfn.LET(_xlpm.x,INDEX(EnterData_8[Competencies],MATCH(J26,EnterData_8[Competency Num],0),1),IF(ISERROR(_xlpm.x),"",_xlpm.x))</f>
        <v/>
      </c>
      <c r="L26" s="294"/>
      <c r="M26" s="295"/>
      <c r="N26" s="296"/>
      <c r="O26" s="296"/>
      <c r="P26" s="20"/>
      <c r="Q26" s="20"/>
      <c r="R26" s="20"/>
      <c r="S26" s="20"/>
    </row>
    <row r="27" spans="1:19" ht="29" x14ac:dyDescent="0.35">
      <c r="A27" s="6">
        <v>21</v>
      </c>
      <c r="B27" s="26" t="s">
        <v>45</v>
      </c>
      <c r="C27" s="7" t="s">
        <v>46</v>
      </c>
      <c r="D27" s="58"/>
      <c r="E27" s="5" t="str">
        <f>EnterData_5[[#This Row],[Essential]]&amp;""</f>
        <v>Y</v>
      </c>
      <c r="F27" s="289"/>
      <c r="G27" s="53"/>
      <c r="H27" s="26" t="s">
        <v>92</v>
      </c>
      <c r="J27" s="38" t="str">
        <f>calc!G33&amp;""</f>
        <v/>
      </c>
      <c r="K27" s="37" t="str">
        <f>_xlfn.LET(_xlpm.x,INDEX(EnterData_8[Competencies],MATCH(J27,EnterData_8[Competency Num],0),1),IF(ISERROR(_xlpm.x),"",_xlpm.x))</f>
        <v/>
      </c>
      <c r="L27" s="294"/>
      <c r="M27" s="295"/>
      <c r="N27" s="296"/>
      <c r="O27" s="296"/>
      <c r="P27" s="20"/>
      <c r="Q27" s="20"/>
      <c r="R27" s="20"/>
      <c r="S27" s="20"/>
    </row>
    <row r="28" spans="1:19" ht="43.5" x14ac:dyDescent="0.35">
      <c r="A28" s="6">
        <v>22</v>
      </c>
      <c r="B28" s="26" t="s">
        <v>47</v>
      </c>
      <c r="C28" s="7" t="s">
        <v>48</v>
      </c>
      <c r="D28" s="58"/>
      <c r="E28" s="5" t="str">
        <f>EnterData_5[[#This Row],[Essential]]&amp;""</f>
        <v>Y</v>
      </c>
      <c r="F28" s="289"/>
      <c r="G28" s="53"/>
      <c r="H28" s="26" t="s">
        <v>92</v>
      </c>
      <c r="J28" s="38" t="str">
        <f>calc!G34&amp;""</f>
        <v/>
      </c>
      <c r="K28" s="37" t="str">
        <f>_xlfn.LET(_xlpm.x,INDEX(EnterData_8[Competencies],MATCH(J28,EnterData_8[Competency Num],0),1),IF(ISERROR(_xlpm.x),"",_xlpm.x))</f>
        <v/>
      </c>
      <c r="L28" s="294"/>
      <c r="M28" s="295"/>
      <c r="N28" s="296"/>
      <c r="O28" s="296"/>
      <c r="P28" s="20"/>
      <c r="Q28" s="20"/>
      <c r="R28" s="20"/>
      <c r="S28" s="20"/>
    </row>
    <row r="29" spans="1:19" ht="43.5" x14ac:dyDescent="0.35">
      <c r="A29" s="6">
        <v>23</v>
      </c>
      <c r="B29" s="322" t="s">
        <v>49</v>
      </c>
      <c r="C29" s="323" t="s">
        <v>50</v>
      </c>
      <c r="D29" s="299"/>
      <c r="E29" s="300" t="str">
        <f>EnterData_5[[#This Row],[Essential]]&amp;""</f>
        <v>Y</v>
      </c>
      <c r="F29" s="301"/>
      <c r="G29" s="302"/>
      <c r="H29" s="26" t="s">
        <v>92</v>
      </c>
      <c r="J29" s="38" t="str">
        <f>calc!G35&amp;""</f>
        <v/>
      </c>
      <c r="K29" s="37" t="str">
        <f>_xlfn.LET(_xlpm.x,INDEX(EnterData_8[Competencies],MATCH(J29,EnterData_8[Competency Num],0),1),IF(ISERROR(_xlpm.x),"",_xlpm.x))</f>
        <v/>
      </c>
      <c r="L29" s="294"/>
      <c r="M29" s="295"/>
      <c r="N29" s="296"/>
      <c r="O29" s="296"/>
      <c r="P29" s="20"/>
      <c r="Q29" s="20"/>
      <c r="R29" s="20"/>
      <c r="S29" s="20"/>
    </row>
    <row r="30" spans="1:19" ht="29" x14ac:dyDescent="0.35">
      <c r="A30" s="8">
        <v>24</v>
      </c>
      <c r="B30" s="321" t="s">
        <v>51</v>
      </c>
      <c r="C30" s="21" t="s">
        <v>52</v>
      </c>
      <c r="D30" s="57"/>
      <c r="E30" s="2" t="str">
        <f>EnterData_5[[#This Row],[Essential]]&amp;""</f>
        <v>N</v>
      </c>
      <c r="F30" s="288"/>
      <c r="G30" s="318"/>
      <c r="H30" s="27" t="s">
        <v>93</v>
      </c>
      <c r="J30" s="38" t="str">
        <f>calc!G36&amp;""</f>
        <v/>
      </c>
      <c r="K30" s="37" t="str">
        <f>_xlfn.LET(_xlpm.x,INDEX(EnterData_8[Competencies],MATCH(J30,EnterData_8[Competency Num],0),1),IF(ISERROR(_xlpm.x),"",_xlpm.x))</f>
        <v/>
      </c>
      <c r="L30" s="294"/>
      <c r="M30" s="295"/>
      <c r="N30" s="296"/>
      <c r="O30" s="296"/>
      <c r="P30" s="20"/>
      <c r="Q30" s="20"/>
      <c r="R30" s="20"/>
      <c r="S30" s="20"/>
    </row>
    <row r="31" spans="1:19" ht="43.5" x14ac:dyDescent="0.35">
      <c r="A31" s="8">
        <v>25</v>
      </c>
      <c r="B31" s="27" t="s">
        <v>53</v>
      </c>
      <c r="C31" s="4" t="s">
        <v>54</v>
      </c>
      <c r="D31" s="58"/>
      <c r="E31" s="5" t="str">
        <f>EnterData_5[[#This Row],[Essential]]&amp;""</f>
        <v>Y</v>
      </c>
      <c r="F31" s="289"/>
      <c r="G31" s="53"/>
      <c r="H31" s="27" t="s">
        <v>93</v>
      </c>
      <c r="J31" s="38" t="str">
        <f>calc!G37&amp;""</f>
        <v/>
      </c>
      <c r="K31" s="37" t="str">
        <f>_xlfn.LET(_xlpm.x,INDEX(EnterData_8[Competencies],MATCH(J31,EnterData_8[Competency Num],0),1),IF(ISERROR(_xlpm.x),"",_xlpm.x))</f>
        <v/>
      </c>
      <c r="L31" s="294"/>
      <c r="M31" s="295"/>
      <c r="N31" s="296"/>
      <c r="O31" s="296"/>
      <c r="P31" s="20"/>
      <c r="Q31" s="20"/>
      <c r="R31" s="20"/>
      <c r="S31" s="20"/>
    </row>
    <row r="32" spans="1:19" ht="29" x14ac:dyDescent="0.35">
      <c r="A32" s="8">
        <v>26</v>
      </c>
      <c r="B32" s="27" t="s">
        <v>55</v>
      </c>
      <c r="C32" s="4" t="s">
        <v>56</v>
      </c>
      <c r="D32" s="58"/>
      <c r="E32" s="5" t="str">
        <f>EnterData_5[[#This Row],[Essential]]&amp;""</f>
        <v>Y</v>
      </c>
      <c r="F32" s="289"/>
      <c r="G32" s="53"/>
      <c r="H32" s="27" t="s">
        <v>93</v>
      </c>
      <c r="J32" s="38" t="str">
        <f>calc!G38&amp;""</f>
        <v/>
      </c>
      <c r="K32" s="37" t="str">
        <f>_xlfn.LET(_xlpm.x,INDEX(EnterData_8[Competencies],MATCH(J32,EnterData_8[Competency Num],0),1),IF(ISERROR(_xlpm.x),"",_xlpm.x))</f>
        <v/>
      </c>
      <c r="L32" s="294"/>
      <c r="M32" s="295"/>
      <c r="N32" s="296"/>
      <c r="O32" s="296"/>
      <c r="P32" s="20"/>
      <c r="Q32" s="20"/>
      <c r="R32" s="20"/>
      <c r="S32" s="20"/>
    </row>
    <row r="33" spans="1:19" ht="29" x14ac:dyDescent="0.35">
      <c r="A33" s="8">
        <v>27</v>
      </c>
      <c r="B33" s="27" t="s">
        <v>57</v>
      </c>
      <c r="C33" s="4" t="s">
        <v>58</v>
      </c>
      <c r="D33" s="58"/>
      <c r="E33" s="5" t="str">
        <f>EnterData_5[[#This Row],[Essential]]&amp;""</f>
        <v>Y</v>
      </c>
      <c r="F33" s="289"/>
      <c r="G33" s="53"/>
      <c r="H33" s="27" t="s">
        <v>93</v>
      </c>
      <c r="J33" s="38" t="str">
        <f>calc!G39&amp;""</f>
        <v/>
      </c>
      <c r="K33" s="37" t="str">
        <f>_xlfn.LET(_xlpm.x,INDEX(EnterData_8[Competencies],MATCH(J33,EnterData_8[Competency Num],0),1),IF(ISERROR(_xlpm.x),"",_xlpm.x))</f>
        <v/>
      </c>
      <c r="L33" s="294"/>
      <c r="M33" s="295"/>
      <c r="N33" s="296"/>
      <c r="O33" s="296"/>
      <c r="P33" s="20"/>
      <c r="Q33" s="20"/>
      <c r="R33" s="20"/>
      <c r="S33" s="20"/>
    </row>
    <row r="34" spans="1:19" ht="29" x14ac:dyDescent="0.35">
      <c r="A34" s="8">
        <v>28</v>
      </c>
      <c r="B34" s="27" t="s">
        <v>59</v>
      </c>
      <c r="C34" s="4" t="s">
        <v>60</v>
      </c>
      <c r="D34" s="58"/>
      <c r="E34" s="5" t="str">
        <f>EnterData_5[[#This Row],[Essential]]&amp;""</f>
        <v>Y</v>
      </c>
      <c r="F34" s="289"/>
      <c r="G34" s="53"/>
      <c r="H34" s="27" t="s">
        <v>93</v>
      </c>
      <c r="J34" s="38" t="str">
        <f>calc!G40&amp;""</f>
        <v/>
      </c>
      <c r="K34" s="37" t="str">
        <f>_xlfn.LET(_xlpm.x,INDEX(EnterData_8[Competencies],MATCH(J34,EnterData_8[Competency Num],0),1),IF(ISERROR(_xlpm.x),"",_xlpm.x))</f>
        <v/>
      </c>
      <c r="L34" s="294"/>
      <c r="M34" s="295"/>
      <c r="N34" s="296"/>
      <c r="O34" s="296"/>
      <c r="P34" s="20"/>
      <c r="Q34" s="20"/>
      <c r="R34" s="20"/>
      <c r="S34" s="20"/>
    </row>
    <row r="35" spans="1:19" ht="58" x14ac:dyDescent="0.35">
      <c r="A35" s="8">
        <v>29</v>
      </c>
      <c r="B35" s="27" t="s">
        <v>61</v>
      </c>
      <c r="C35" s="4" t="s">
        <v>62</v>
      </c>
      <c r="D35" s="58"/>
      <c r="E35" s="5" t="str">
        <f>EnterData_5[[#This Row],[Essential]]&amp;""</f>
        <v>Y</v>
      </c>
      <c r="F35" s="289"/>
      <c r="G35" s="53"/>
      <c r="H35" s="27" t="s">
        <v>93</v>
      </c>
      <c r="J35" s="38" t="str">
        <f>calc!G41&amp;""</f>
        <v/>
      </c>
      <c r="K35" s="37" t="str">
        <f>_xlfn.LET(_xlpm.x,INDEX(EnterData_8[Competencies],MATCH(J35,EnterData_8[Competency Num],0),1),IF(ISERROR(_xlpm.x),"",_xlpm.x))</f>
        <v/>
      </c>
      <c r="L35" s="294"/>
      <c r="M35" s="295"/>
      <c r="N35" s="296"/>
      <c r="O35" s="296"/>
      <c r="P35" s="20"/>
      <c r="Q35" s="20"/>
      <c r="R35" s="20"/>
      <c r="S35" s="20"/>
    </row>
    <row r="36" spans="1:19" ht="43.5" x14ac:dyDescent="0.35">
      <c r="A36" s="8">
        <v>30</v>
      </c>
      <c r="B36" s="27" t="s">
        <v>63</v>
      </c>
      <c r="C36" s="4" t="s">
        <v>64</v>
      </c>
      <c r="D36" s="58"/>
      <c r="E36" s="5" t="str">
        <f>EnterData_5[[#This Row],[Essential]]&amp;""</f>
        <v>Y</v>
      </c>
      <c r="F36" s="289"/>
      <c r="G36" s="53"/>
      <c r="H36" s="27" t="s">
        <v>93</v>
      </c>
      <c r="J36" s="38" t="str">
        <f>calc!G42&amp;""</f>
        <v/>
      </c>
      <c r="K36" s="37" t="str">
        <f>_xlfn.LET(_xlpm.x,INDEX(EnterData_8[Competencies],MATCH(J36,EnterData_8[Competency Num],0),1),IF(ISERROR(_xlpm.x),"",_xlpm.x))</f>
        <v/>
      </c>
      <c r="L36" s="294"/>
      <c r="M36" s="295"/>
      <c r="N36" s="296"/>
      <c r="O36" s="296"/>
      <c r="P36" s="20"/>
      <c r="Q36" s="20"/>
      <c r="R36" s="20"/>
      <c r="S36" s="20"/>
    </row>
    <row r="37" spans="1:19" ht="43.5" x14ac:dyDescent="0.35">
      <c r="A37" s="8">
        <v>31</v>
      </c>
      <c r="B37" s="27" t="s">
        <v>65</v>
      </c>
      <c r="C37" s="4" t="s">
        <v>66</v>
      </c>
      <c r="D37" s="58"/>
      <c r="E37" s="5" t="str">
        <f>EnterData_5[[#This Row],[Essential]]&amp;""</f>
        <v>Y</v>
      </c>
      <c r="F37" s="289"/>
      <c r="G37" s="53"/>
      <c r="H37" s="27" t="s">
        <v>93</v>
      </c>
      <c r="J37" s="38" t="str">
        <f>calc!G43&amp;""</f>
        <v/>
      </c>
      <c r="K37" s="37" t="str">
        <f>_xlfn.LET(_xlpm.x,INDEX(EnterData_8[Competencies],MATCH(J37,EnterData_8[Competency Num],0),1),IF(ISERROR(_xlpm.x),"",_xlpm.x))</f>
        <v/>
      </c>
      <c r="L37" s="294"/>
      <c r="M37" s="295"/>
      <c r="N37" s="296"/>
      <c r="O37" s="296"/>
      <c r="P37" s="20"/>
      <c r="Q37" s="20"/>
      <c r="R37" s="20"/>
      <c r="S37" s="20"/>
    </row>
    <row r="38" spans="1:19" ht="58" x14ac:dyDescent="0.35">
      <c r="A38" s="8">
        <v>32</v>
      </c>
      <c r="B38" s="27" t="s">
        <v>67</v>
      </c>
      <c r="C38" s="4" t="s">
        <v>68</v>
      </c>
      <c r="D38" s="58"/>
      <c r="E38" s="5" t="str">
        <f>EnterData_5[[#This Row],[Essential]]&amp;""</f>
        <v>Y</v>
      </c>
      <c r="F38" s="289"/>
      <c r="G38" s="53"/>
      <c r="H38" s="27" t="s">
        <v>93</v>
      </c>
      <c r="J38" s="38" t="str">
        <f>calc!G44&amp;""</f>
        <v/>
      </c>
      <c r="K38" s="37" t="str">
        <f>_xlfn.LET(_xlpm.x,INDEX(EnterData_8[Competencies],MATCH(J38,EnterData_8[Competency Num],0),1),IF(ISERROR(_xlpm.x),"",_xlpm.x))</f>
        <v/>
      </c>
      <c r="L38" s="294"/>
      <c r="M38" s="295"/>
      <c r="N38" s="296"/>
      <c r="O38" s="296"/>
      <c r="P38" s="20"/>
      <c r="Q38" s="20"/>
      <c r="R38" s="20"/>
      <c r="S38" s="20"/>
    </row>
    <row r="39" spans="1:19" ht="43.5" x14ac:dyDescent="0.35">
      <c r="A39" s="8">
        <v>33</v>
      </c>
      <c r="B39" s="27" t="s">
        <v>69</v>
      </c>
      <c r="C39" s="4" t="s">
        <v>70</v>
      </c>
      <c r="D39" s="58"/>
      <c r="E39" s="5" t="str">
        <f>EnterData_5[[#This Row],[Essential]]&amp;""</f>
        <v>Y</v>
      </c>
      <c r="F39" s="289"/>
      <c r="G39" s="53"/>
      <c r="H39" s="27" t="s">
        <v>93</v>
      </c>
      <c r="J39" s="38" t="str">
        <f>calc!G45&amp;""</f>
        <v/>
      </c>
      <c r="K39" s="37" t="str">
        <f>_xlfn.LET(_xlpm.x,INDEX(EnterData_8[Competencies],MATCH(J39,EnterData_8[Competency Num],0),1),IF(ISERROR(_xlpm.x),"",_xlpm.x))</f>
        <v/>
      </c>
      <c r="L39" s="294"/>
      <c r="M39" s="295"/>
      <c r="N39" s="296"/>
      <c r="O39" s="296"/>
      <c r="P39" s="20"/>
      <c r="Q39" s="20"/>
      <c r="R39" s="20"/>
      <c r="S39" s="20"/>
    </row>
    <row r="40" spans="1:19" ht="43.5" x14ac:dyDescent="0.35">
      <c r="A40" s="8">
        <v>34</v>
      </c>
      <c r="B40" s="27" t="s">
        <v>71</v>
      </c>
      <c r="C40" s="4" t="s">
        <v>72</v>
      </c>
      <c r="D40" s="58"/>
      <c r="E40" s="5" t="str">
        <f>EnterData_5[[#This Row],[Essential]]&amp;""</f>
        <v>Y</v>
      </c>
      <c r="F40" s="289"/>
      <c r="G40" s="53"/>
      <c r="H40" s="27" t="s">
        <v>93</v>
      </c>
      <c r="J40" s="38" t="str">
        <f>calc!G46&amp;""</f>
        <v/>
      </c>
      <c r="K40" s="37" t="str">
        <f>_xlfn.LET(_xlpm.x,INDEX(EnterData_8[Competencies],MATCH(J40,EnterData_8[Competency Num],0),1),IF(ISERROR(_xlpm.x),"",_xlpm.x))</f>
        <v/>
      </c>
      <c r="L40" s="294"/>
      <c r="M40" s="295"/>
      <c r="N40" s="296"/>
      <c r="O40" s="296"/>
      <c r="P40" s="20"/>
      <c r="Q40" s="20"/>
      <c r="R40" s="20"/>
      <c r="S40" s="20"/>
    </row>
    <row r="41" spans="1:19" ht="29" x14ac:dyDescent="0.35">
      <c r="A41" s="8">
        <v>35</v>
      </c>
      <c r="B41" s="27" t="s">
        <v>73</v>
      </c>
      <c r="C41" s="4" t="s">
        <v>74</v>
      </c>
      <c r="D41" s="58"/>
      <c r="E41" s="5" t="str">
        <f>EnterData_5[[#This Row],[Essential]]&amp;""</f>
        <v>Y</v>
      </c>
      <c r="F41" s="289"/>
      <c r="G41" s="53"/>
      <c r="H41" s="27" t="s">
        <v>93</v>
      </c>
      <c r="J41" s="38" t="str">
        <f>calc!G47&amp;""</f>
        <v/>
      </c>
      <c r="K41" s="37" t="str">
        <f>_xlfn.LET(_xlpm.x,INDEX(EnterData_8[Competencies],MATCH(J41,EnterData_8[Competency Num],0),1),IF(ISERROR(_xlpm.x),"",_xlpm.x))</f>
        <v/>
      </c>
      <c r="L41" s="294"/>
      <c r="M41" s="295"/>
      <c r="N41" s="296"/>
      <c r="O41" s="296"/>
      <c r="P41" s="20"/>
      <c r="Q41" s="20"/>
      <c r="R41" s="20"/>
      <c r="S41" s="20"/>
    </row>
    <row r="42" spans="1:19" ht="43.5" x14ac:dyDescent="0.35">
      <c r="A42" s="9">
        <v>36</v>
      </c>
      <c r="B42" s="29" t="s">
        <v>75</v>
      </c>
      <c r="C42" s="42" t="s">
        <v>76</v>
      </c>
      <c r="D42" s="59"/>
      <c r="E42" s="30" t="str">
        <f>EnterData_5[[#This Row],[Essential]]&amp;""</f>
        <v>N</v>
      </c>
      <c r="F42" s="290"/>
      <c r="G42" s="54"/>
      <c r="H42" s="29" t="s">
        <v>93</v>
      </c>
      <c r="J42" s="38" t="str">
        <f>calc!G48&amp;""</f>
        <v/>
      </c>
      <c r="K42" s="37" t="str">
        <f>_xlfn.LET(_xlpm.x,INDEX(EnterData_8[Competencies],MATCH(J42,EnterData_8[Competency Num],0),1),IF(ISERROR(_xlpm.x),"",_xlpm.x))</f>
        <v/>
      </c>
      <c r="L42" s="294"/>
      <c r="M42" s="295"/>
      <c r="N42" s="296"/>
      <c r="O42" s="296"/>
      <c r="P42" s="20"/>
      <c r="Q42" s="20"/>
      <c r="R42" s="20"/>
      <c r="S42" s="20"/>
    </row>
    <row r="43" spans="1:19" x14ac:dyDescent="0.35">
      <c r="A43" s="20"/>
      <c r="B43" s="55"/>
      <c r="C43" s="51"/>
      <c r="D43" s="10"/>
      <c r="E43" s="10"/>
      <c r="F43" s="20"/>
      <c r="G43" s="20"/>
      <c r="H43" s="20"/>
      <c r="I43" s="20"/>
      <c r="J43" s="20"/>
      <c r="K43" s="20"/>
      <c r="L43" s="20"/>
      <c r="M43" s="20"/>
      <c r="N43" s="20"/>
      <c r="O43" s="20"/>
      <c r="P43" s="20"/>
      <c r="Q43" s="20"/>
      <c r="R43" s="20"/>
      <c r="S43" s="20"/>
    </row>
    <row r="44" spans="1:19" x14ac:dyDescent="0.35">
      <c r="A44" s="20"/>
      <c r="B44" s="56" t="s">
        <v>77</v>
      </c>
      <c r="C44" s="74" t="s">
        <v>78</v>
      </c>
      <c r="D44" s="11" t="s">
        <v>79</v>
      </c>
      <c r="E44" s="65" t="s">
        <v>80</v>
      </c>
      <c r="F44" s="65"/>
      <c r="G44" s="20"/>
      <c r="H44" s="20"/>
      <c r="I44" s="20"/>
      <c r="J44" s="20"/>
      <c r="K44" s="20"/>
      <c r="L44" s="20"/>
      <c r="M44" s="20"/>
      <c r="N44" s="20"/>
      <c r="O44" s="20"/>
      <c r="P44" s="20"/>
      <c r="Q44" s="20"/>
      <c r="R44" s="20"/>
      <c r="S44" s="20"/>
    </row>
    <row r="45" spans="1:19" x14ac:dyDescent="0.35">
      <c r="A45" s="20"/>
      <c r="B45" s="23" t="s">
        <v>89</v>
      </c>
      <c r="C45" s="75" t="s">
        <v>191</v>
      </c>
      <c r="D45" s="12" cm="1">
        <f t="array" ref="D45:D47">_xlfn.ANCHORARRAY(D50)+_xlfn.ANCHORARRAY(D55)+_xlfn.ANCHORARRAY(D60)</f>
        <v>0</v>
      </c>
      <c r="E45" s="66" cm="1">
        <f t="array" ref="E45:E47">_xlfn.ANCHORARRAY(E50)+_xlfn.ANCHORARRAY(E55)+_xlfn.ANCHORARRAY(E60)</f>
        <v>0</v>
      </c>
      <c r="F45" s="66"/>
      <c r="G45" s="20"/>
      <c r="H45" s="20"/>
      <c r="I45" s="20"/>
      <c r="J45" s="20"/>
      <c r="K45" s="20"/>
      <c r="L45" s="20"/>
      <c r="M45" s="20"/>
      <c r="N45" s="20"/>
      <c r="O45" s="20"/>
      <c r="P45" s="20"/>
      <c r="Q45" s="20"/>
      <c r="R45" s="20"/>
      <c r="S45" s="20"/>
    </row>
    <row r="46" spans="1:19" x14ac:dyDescent="0.35">
      <c r="A46" s="20"/>
      <c r="B46" s="23" t="s">
        <v>88</v>
      </c>
      <c r="C46" s="76" t="s">
        <v>193</v>
      </c>
      <c r="D46" s="13">
        <v>0</v>
      </c>
      <c r="E46" s="67">
        <v>0</v>
      </c>
      <c r="F46" s="67"/>
      <c r="G46" s="20"/>
      <c r="H46" s="20"/>
      <c r="I46" s="20"/>
      <c r="J46" s="20"/>
      <c r="K46" s="20"/>
      <c r="L46" s="20"/>
      <c r="M46" s="20"/>
      <c r="N46" s="20"/>
      <c r="O46" s="20"/>
      <c r="P46" s="20"/>
      <c r="Q46" s="20"/>
      <c r="R46" s="20"/>
      <c r="S46" s="20"/>
    </row>
    <row r="47" spans="1:19" x14ac:dyDescent="0.35">
      <c r="A47" s="20"/>
      <c r="B47" s="23" t="s">
        <v>87</v>
      </c>
      <c r="C47" s="77" t="s">
        <v>195</v>
      </c>
      <c r="D47" s="14">
        <v>0</v>
      </c>
      <c r="E47" s="68">
        <v>0</v>
      </c>
      <c r="F47" s="68"/>
      <c r="G47" s="20"/>
      <c r="H47" s="20"/>
      <c r="I47" s="20"/>
      <c r="J47" s="20"/>
      <c r="K47" s="20"/>
      <c r="L47" s="20"/>
      <c r="M47" s="20"/>
      <c r="N47" s="20"/>
      <c r="O47" s="20"/>
      <c r="P47" s="20"/>
      <c r="Q47" s="20"/>
      <c r="R47" s="20"/>
      <c r="S47" s="20"/>
    </row>
    <row r="48" spans="1:19" x14ac:dyDescent="0.35">
      <c r="A48" s="20"/>
      <c r="B48" s="15"/>
      <c r="C48" s="78"/>
      <c r="D48" s="15"/>
      <c r="E48" s="69"/>
      <c r="F48" s="69"/>
      <c r="G48" s="20"/>
      <c r="H48" s="20"/>
      <c r="I48" s="20"/>
      <c r="J48" s="20"/>
      <c r="K48" s="20"/>
      <c r="L48" s="20"/>
      <c r="M48" s="20"/>
      <c r="N48" s="20"/>
      <c r="O48" s="20"/>
      <c r="P48" s="20"/>
      <c r="Q48" s="20"/>
      <c r="R48" s="20"/>
      <c r="S48" s="20"/>
    </row>
    <row r="49" spans="1:19" x14ac:dyDescent="0.35">
      <c r="A49" s="20"/>
      <c r="B49" s="15"/>
      <c r="C49" s="79" t="s">
        <v>81</v>
      </c>
      <c r="D49" s="16" t="s">
        <v>79</v>
      </c>
      <c r="E49" s="70" t="s">
        <v>80</v>
      </c>
      <c r="F49" s="70"/>
      <c r="G49" s="20"/>
      <c r="H49" s="20"/>
      <c r="I49" s="20"/>
      <c r="J49" s="20"/>
      <c r="K49" s="20"/>
      <c r="L49" s="20"/>
      <c r="M49" s="20"/>
      <c r="N49" s="20"/>
      <c r="O49" s="20"/>
      <c r="P49" s="20"/>
      <c r="Q49" s="20"/>
      <c r="R49" s="20"/>
      <c r="S49" s="20"/>
    </row>
    <row r="50" spans="1:19" x14ac:dyDescent="0.35">
      <c r="A50" s="20"/>
      <c r="B50" s="15"/>
      <c r="C50" s="75" t="s">
        <v>191</v>
      </c>
      <c r="D50" s="12" cm="1">
        <f t="array" ref="D50:D52">COUNTIFS(D$7:D$42,$B$45:$B$47,EnterData_6[Component],"FD")</f>
        <v>0</v>
      </c>
      <c r="E50" s="66" cm="1">
        <f t="array" ref="E50:E52">COUNTIFS(D$7:D$42,$B$45:$B$47,EnterData_6[Component],"FD",E$7:E$42,"Y")</f>
        <v>0</v>
      </c>
      <c r="F50" s="66"/>
      <c r="G50" s="20"/>
      <c r="H50" s="20"/>
      <c r="I50" s="20"/>
      <c r="J50" s="20"/>
      <c r="K50" s="20"/>
      <c r="L50" s="20"/>
      <c r="M50" s="20"/>
      <c r="N50" s="20"/>
      <c r="O50" s="20"/>
      <c r="P50" s="20"/>
      <c r="Q50" s="20"/>
      <c r="R50" s="20"/>
      <c r="S50" s="20"/>
    </row>
    <row r="51" spans="1:19" x14ac:dyDescent="0.35">
      <c r="A51" s="20"/>
      <c r="B51" s="15"/>
      <c r="C51" s="76" t="s">
        <v>193</v>
      </c>
      <c r="D51" s="13">
        <v>0</v>
      </c>
      <c r="E51" s="67">
        <v>0</v>
      </c>
      <c r="F51" s="67"/>
      <c r="G51" s="20"/>
      <c r="H51" s="20"/>
      <c r="I51" s="20"/>
      <c r="J51" s="20"/>
      <c r="K51" s="20"/>
      <c r="L51" s="20"/>
      <c r="M51" s="20"/>
      <c r="N51" s="20"/>
      <c r="O51" s="20"/>
      <c r="P51" s="20"/>
      <c r="Q51" s="20"/>
      <c r="R51" s="20"/>
      <c r="S51" s="20"/>
    </row>
    <row r="52" spans="1:19" x14ac:dyDescent="0.35">
      <c r="A52" s="20"/>
      <c r="B52" s="15"/>
      <c r="C52" s="77" t="s">
        <v>195</v>
      </c>
      <c r="D52" s="14">
        <v>0</v>
      </c>
      <c r="E52" s="68">
        <v>0</v>
      </c>
      <c r="F52" s="68"/>
      <c r="G52" s="20"/>
      <c r="H52" s="20"/>
      <c r="I52" s="20"/>
      <c r="J52" s="20"/>
      <c r="K52" s="20"/>
      <c r="L52" s="20"/>
      <c r="M52" s="20"/>
      <c r="N52" s="20"/>
      <c r="O52" s="20"/>
      <c r="P52" s="20"/>
      <c r="Q52" s="20"/>
      <c r="R52" s="20"/>
      <c r="S52" s="20"/>
    </row>
    <row r="53" spans="1:19" x14ac:dyDescent="0.35">
      <c r="A53" s="20"/>
      <c r="B53" s="15"/>
      <c r="C53" s="78"/>
      <c r="D53" s="15"/>
      <c r="E53" s="69"/>
      <c r="F53" s="69"/>
      <c r="G53" s="20"/>
      <c r="H53" s="20"/>
      <c r="I53" s="20"/>
      <c r="J53" s="20"/>
      <c r="K53" s="20"/>
      <c r="L53" s="20"/>
      <c r="M53" s="20"/>
      <c r="N53" s="20"/>
      <c r="O53" s="20"/>
      <c r="P53" s="20"/>
      <c r="Q53" s="20"/>
      <c r="R53" s="20"/>
      <c r="S53" s="20"/>
    </row>
    <row r="54" spans="1:19" x14ac:dyDescent="0.35">
      <c r="A54" s="20"/>
      <c r="B54" s="15"/>
      <c r="C54" s="80" t="s">
        <v>82</v>
      </c>
      <c r="D54" s="17" t="s">
        <v>79</v>
      </c>
      <c r="E54" s="71" t="s">
        <v>80</v>
      </c>
      <c r="F54" s="71"/>
      <c r="G54" s="20"/>
      <c r="H54" s="20"/>
      <c r="I54" s="20"/>
      <c r="J54" s="20"/>
      <c r="K54" s="20"/>
      <c r="L54" s="20"/>
      <c r="M54" s="20"/>
      <c r="N54" s="20"/>
      <c r="O54" s="20"/>
      <c r="P54" s="20"/>
      <c r="Q54" s="20"/>
      <c r="R54" s="20"/>
      <c r="S54" s="20"/>
    </row>
    <row r="55" spans="1:19" x14ac:dyDescent="0.35">
      <c r="A55" s="20"/>
      <c r="B55" s="15"/>
      <c r="C55" s="75" t="s">
        <v>191</v>
      </c>
      <c r="D55" s="12" cm="1">
        <f t="array" ref="D55:D57">COUNTIFS(D$7:D$42,$B$45:$B$47,EnterData_6[Component],"IN")</f>
        <v>0</v>
      </c>
      <c r="E55" s="66" cm="1">
        <f t="array" ref="E55:E57">COUNTIFS(D$7:D$42,$B$45:$B$47,EnterData_6[Component],"IN",E$7:E$42,"Y")</f>
        <v>0</v>
      </c>
      <c r="F55" s="66"/>
      <c r="G55" s="20"/>
      <c r="H55" s="20"/>
      <c r="I55" s="20"/>
      <c r="J55" s="20"/>
      <c r="K55" s="20"/>
      <c r="L55" s="20"/>
      <c r="M55" s="20"/>
      <c r="N55" s="20"/>
      <c r="O55" s="20"/>
      <c r="P55" s="20"/>
      <c r="Q55" s="20"/>
      <c r="R55" s="20"/>
      <c r="S55" s="20"/>
    </row>
    <row r="56" spans="1:19" x14ac:dyDescent="0.35">
      <c r="A56" s="20"/>
      <c r="B56" s="15"/>
      <c r="C56" s="76" t="s">
        <v>193</v>
      </c>
      <c r="D56" s="13">
        <v>0</v>
      </c>
      <c r="E56" s="67">
        <v>0</v>
      </c>
      <c r="F56" s="67"/>
      <c r="G56" s="20"/>
      <c r="H56" s="20"/>
      <c r="I56" s="20"/>
      <c r="J56" s="20"/>
      <c r="K56" s="20"/>
      <c r="L56" s="20"/>
      <c r="M56" s="20"/>
      <c r="N56" s="20"/>
      <c r="O56" s="20"/>
      <c r="P56" s="20"/>
      <c r="Q56" s="20"/>
      <c r="R56" s="20"/>
      <c r="S56" s="20"/>
    </row>
    <row r="57" spans="1:19" x14ac:dyDescent="0.35">
      <c r="A57" s="20"/>
      <c r="B57" s="15"/>
      <c r="C57" s="77" t="s">
        <v>195</v>
      </c>
      <c r="D57" s="14">
        <v>0</v>
      </c>
      <c r="E57" s="68">
        <v>0</v>
      </c>
      <c r="F57" s="68"/>
      <c r="G57" s="20"/>
      <c r="H57" s="20"/>
      <c r="I57" s="20"/>
      <c r="J57" s="20"/>
      <c r="K57" s="20"/>
      <c r="L57" s="20"/>
      <c r="M57" s="20"/>
      <c r="N57" s="20"/>
      <c r="O57" s="20"/>
      <c r="P57" s="20"/>
      <c r="Q57" s="20"/>
      <c r="R57" s="20"/>
      <c r="S57" s="20"/>
    </row>
    <row r="58" spans="1:19" x14ac:dyDescent="0.35">
      <c r="A58" s="20"/>
      <c r="B58" s="15"/>
      <c r="C58" s="78"/>
      <c r="D58" s="15"/>
      <c r="E58" s="69"/>
      <c r="F58" s="69"/>
      <c r="G58" s="20"/>
      <c r="H58" s="20"/>
      <c r="I58" s="20"/>
      <c r="J58" s="20"/>
      <c r="K58" s="20"/>
      <c r="L58" s="20"/>
      <c r="M58" s="20"/>
      <c r="N58" s="20"/>
      <c r="O58" s="20"/>
      <c r="P58" s="20"/>
      <c r="Q58" s="20"/>
      <c r="R58" s="20"/>
      <c r="S58" s="20"/>
    </row>
    <row r="59" spans="1:19" x14ac:dyDescent="0.35">
      <c r="A59" s="20"/>
      <c r="B59" s="15"/>
      <c r="C59" s="81" t="s">
        <v>83</v>
      </c>
      <c r="D59" s="18" t="s">
        <v>79</v>
      </c>
      <c r="E59" s="72" t="s">
        <v>80</v>
      </c>
      <c r="F59" s="72"/>
      <c r="G59" s="20"/>
      <c r="H59" s="20"/>
      <c r="I59" s="20"/>
      <c r="J59" s="20"/>
      <c r="K59" s="20"/>
      <c r="L59" s="20"/>
      <c r="M59" s="20"/>
      <c r="N59" s="20"/>
      <c r="O59" s="20"/>
      <c r="P59" s="20"/>
      <c r="Q59" s="20"/>
      <c r="R59" s="20"/>
      <c r="S59" s="20"/>
    </row>
    <row r="60" spans="1:19" x14ac:dyDescent="0.35">
      <c r="A60" s="20"/>
      <c r="B60" s="15"/>
      <c r="C60" s="75" t="s">
        <v>191</v>
      </c>
      <c r="D60" s="19" cm="1">
        <f t="array" ref="D60:D62">COUNTIFS(D$7:D$42,$B$45:$B$47,EnterData_6[Component],"DC")</f>
        <v>0</v>
      </c>
      <c r="E60" s="73" cm="1">
        <f t="array" ref="E60:E62">COUNTIFS(D$7:D$42,$B$45:$B$47,EnterData_6[Component],"DC",E$7:E$42,"Y")</f>
        <v>0</v>
      </c>
      <c r="F60" s="73"/>
      <c r="G60" s="20"/>
      <c r="H60" s="20"/>
      <c r="I60" s="20"/>
      <c r="J60" s="20"/>
      <c r="K60" s="20"/>
      <c r="L60" s="20"/>
      <c r="M60" s="20"/>
      <c r="N60" s="20"/>
      <c r="O60" s="20"/>
      <c r="P60" s="20"/>
      <c r="Q60" s="20"/>
      <c r="R60" s="20"/>
      <c r="S60" s="20"/>
    </row>
    <row r="61" spans="1:19" x14ac:dyDescent="0.35">
      <c r="A61" s="20"/>
      <c r="B61" s="15"/>
      <c r="C61" s="76" t="s">
        <v>193</v>
      </c>
      <c r="D61" s="13">
        <v>0</v>
      </c>
      <c r="E61" s="67">
        <v>0</v>
      </c>
      <c r="F61" s="67"/>
      <c r="G61" s="20"/>
      <c r="H61" s="20"/>
      <c r="I61" s="20"/>
      <c r="J61" s="20"/>
      <c r="K61" s="20"/>
      <c r="L61" s="20"/>
      <c r="M61" s="20"/>
      <c r="N61" s="20"/>
      <c r="O61" s="20"/>
      <c r="P61" s="20"/>
      <c r="Q61" s="20"/>
      <c r="R61" s="20"/>
      <c r="S61" s="20"/>
    </row>
    <row r="62" spans="1:19" x14ac:dyDescent="0.35">
      <c r="A62" s="20"/>
      <c r="B62" s="15"/>
      <c r="C62" s="77" t="s">
        <v>195</v>
      </c>
      <c r="D62" s="14">
        <v>0</v>
      </c>
      <c r="E62" s="68">
        <v>0</v>
      </c>
      <c r="F62" s="68"/>
      <c r="G62" s="20"/>
      <c r="H62" s="20"/>
      <c r="I62" s="20"/>
      <c r="J62" s="20"/>
      <c r="K62" s="20"/>
      <c r="L62" s="20"/>
      <c r="M62" s="20"/>
      <c r="N62" s="20"/>
      <c r="O62" s="20"/>
      <c r="P62" s="20"/>
      <c r="Q62" s="20"/>
      <c r="R62" s="20"/>
      <c r="S62" s="20"/>
    </row>
    <row r="63" spans="1:19" x14ac:dyDescent="0.35">
      <c r="A63" s="283" t="s">
        <v>150</v>
      </c>
      <c r="B63" s="20"/>
      <c r="C63" s="20"/>
      <c r="D63" s="20"/>
      <c r="E63" s="20"/>
      <c r="F63" s="20"/>
      <c r="G63" s="20"/>
      <c r="H63" s="20"/>
      <c r="I63" s="20"/>
      <c r="J63" s="20"/>
      <c r="K63" s="20"/>
      <c r="L63" s="20"/>
      <c r="M63" s="20"/>
      <c r="N63" s="20"/>
      <c r="O63" s="20"/>
      <c r="P63" s="20"/>
      <c r="Q63" s="20"/>
      <c r="R63" s="20"/>
      <c r="S63" s="20"/>
    </row>
    <row r="64" spans="1:19" x14ac:dyDescent="0.35">
      <c r="A64" s="20"/>
      <c r="B64" s="20"/>
      <c r="C64" s="20"/>
      <c r="D64" s="20"/>
      <c r="E64" s="20"/>
      <c r="F64" s="20"/>
      <c r="G64" s="20"/>
      <c r="H64" s="20"/>
      <c r="I64" s="20"/>
      <c r="J64" s="20"/>
      <c r="K64" s="20"/>
    </row>
    <row r="65" spans="1:11" x14ac:dyDescent="0.35">
      <c r="A65" s="20"/>
      <c r="B65" s="20"/>
      <c r="C65" s="20"/>
      <c r="D65" s="20"/>
      <c r="E65" s="20"/>
      <c r="F65" s="20"/>
      <c r="G65" s="20"/>
      <c r="H65" s="20"/>
      <c r="I65" s="20"/>
      <c r="J65" s="20"/>
      <c r="K65" s="20"/>
    </row>
    <row r="66" spans="1:11" x14ac:dyDescent="0.35">
      <c r="A66" s="20"/>
      <c r="B66" s="20"/>
      <c r="C66" s="20"/>
      <c r="D66" s="20"/>
      <c r="E66" s="20"/>
      <c r="F66" s="20"/>
      <c r="G66" s="20"/>
      <c r="H66" s="20"/>
      <c r="I66" s="20"/>
      <c r="J66" s="20"/>
      <c r="K66" s="20"/>
    </row>
  </sheetData>
  <sheetProtection sheet="1" formatCells="0" formatColumns="0" formatRows="0"/>
  <conditionalFormatting sqref="F7:F42">
    <cfRule type="expression" dxfId="71" priority="2">
      <formula>OR(D7="Min comp",D7="Comp")</formula>
    </cfRule>
  </conditionalFormatting>
  <conditionalFormatting sqref="J7:J42">
    <cfRule type="expression" dxfId="70" priority="4">
      <formula>$J7&lt;&gt;""</formula>
    </cfRule>
    <cfRule type="expression" dxfId="69" priority="8">
      <formula>LEFT($J7)="F"</formula>
    </cfRule>
    <cfRule type="expression" dxfId="68" priority="9">
      <formula>LEFT($J7)="I"</formula>
    </cfRule>
    <cfRule type="expression" dxfId="67" priority="12">
      <formula>LEFT($J7)="D"</formula>
    </cfRule>
  </conditionalFormatting>
  <conditionalFormatting sqref="J7:O42">
    <cfRule type="expression" dxfId="66" priority="5">
      <formula>AND($J7&lt;&gt;"",$J8="")</formula>
    </cfRule>
    <cfRule type="expression" dxfId="65" priority="6">
      <formula>$J7&lt;&gt;""</formula>
    </cfRule>
  </conditionalFormatting>
  <conditionalFormatting sqref="L7:O42">
    <cfRule type="expression" dxfId="64" priority="7">
      <formula>$J7&lt;&gt;""</formula>
    </cfRule>
  </conditionalFormatting>
  <conditionalFormatting sqref="O7:O42">
    <cfRule type="expression" dxfId="63" priority="3">
      <formula>$J7&lt;&gt;""</formula>
    </cfRule>
  </conditionalFormatting>
  <dataValidations count="4">
    <dataValidation type="list" allowBlank="1" showInputMessage="1" showErrorMessage="1" sqref="L7:L42" xr:uid="{79E61D08-6312-4223-906D-1F6F381175BF}">
      <formula1>"yes,no"</formula1>
    </dataValidation>
    <dataValidation type="list" allowBlank="1" showInputMessage="1" showErrorMessage="1" sqref="D7:D42" xr:uid="{28F08B6B-A69C-4D0D-A7EA-810A169820F8}">
      <formula1>"Min comp, Comp, Hi comp"</formula1>
    </dataValidation>
    <dataValidation type="list" allowBlank="1" showInputMessage="1" showErrorMessage="1" sqref="F7:F42" xr:uid="{C577BA5E-860A-4FDE-B755-3380F1AE303D}">
      <formula1>"Y,N"</formula1>
    </dataValidation>
    <dataValidation type="list" allowBlank="1" showInputMessage="1" showErrorMessage="1" sqref="E7:E42" xr:uid="{CFCBA5EC-C3DD-49C8-80BD-0F0461E8E453}">
      <formula1>"Y,N,?"</formula1>
    </dataValidation>
  </dataValidations>
  <pageMargins left="0.7" right="0.7" top="0.75" bottom="0.75" header="0.3" footer="0.3"/>
  <pageSetup scale="61" fitToHeight="0" orientation="landscape" horizontalDpi="4294967293" verticalDpi="0" r:id="rId1"/>
  <headerFooter>
    <oddHeader>&amp;LLearning Plan 6&amp;RPrinted on: &amp;D</oddHeader>
    <oddFooter>&amp;CPage &amp;P of &amp;N</oddFooter>
  </headerFooter>
  <legacyDrawing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00766B2D-770E-4F4C-A9F7-45B3528B9A3E}">
            <xm:f>OR('SA1'!$G$3="",$G$4="")</xm:f>
            <x14:dxf>
              <font>
                <color theme="0"/>
              </font>
              <fill>
                <patternFill>
                  <bgColor theme="0"/>
                </patternFill>
              </fill>
              <border>
                <left style="thin">
                  <color theme="0"/>
                </left>
                <right style="thin">
                  <color theme="0"/>
                </right>
                <top style="thin">
                  <color theme="0"/>
                </top>
                <bottom style="thin">
                  <color theme="0"/>
                </bottom>
                <vertical/>
                <horizontal/>
              </border>
            </x14:dxf>
          </x14:cfRule>
          <xm:sqref>A5:O42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50D371B580F64AB8F0059333CBB636" ma:contentTypeVersion="3" ma:contentTypeDescription="Create a new document." ma:contentTypeScope="" ma:versionID="98b96edc095c172bb27c42d1e41a54af">
  <xsd:schema xmlns:xsd="http://www.w3.org/2001/XMLSchema" xmlns:xs="http://www.w3.org/2001/XMLSchema" xmlns:p="http://schemas.microsoft.com/office/2006/metadata/properties" xmlns:ns2="673b1ee9-6257-4c8e-a0c7-7d98f813ef18" targetNamespace="http://schemas.microsoft.com/office/2006/metadata/properties" ma:root="true" ma:fieldsID="5877ac83e7a5ac9fa33610bf76392877" ns2:_="">
    <xsd:import namespace="673b1ee9-6257-4c8e-a0c7-7d98f813ef1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3b1ee9-6257-4c8e-a0c7-7d98f813e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8D55CF-3E1D-43D2-8409-0DB3C65C58B3}"/>
</file>

<file path=customXml/itemProps2.xml><?xml version="1.0" encoding="utf-8"?>
<ds:datastoreItem xmlns:ds="http://schemas.openxmlformats.org/officeDocument/2006/customXml" ds:itemID="{A97F8559-D53A-4C69-82B2-C4091AAACD63}"/>
</file>

<file path=customXml/itemProps3.xml><?xml version="1.0" encoding="utf-8"?>
<ds:datastoreItem xmlns:ds="http://schemas.openxmlformats.org/officeDocument/2006/customXml" ds:itemID="{72FB102F-F593-45AF-BCC4-46926663E88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22</vt:i4>
      </vt:variant>
    </vt:vector>
  </HeadingPairs>
  <TitlesOfParts>
    <vt:vector size="38" baseType="lpstr">
      <vt:lpstr>Information</vt:lpstr>
      <vt:lpstr>Instructions</vt:lpstr>
      <vt:lpstr>Codes</vt:lpstr>
      <vt:lpstr>SA1</vt:lpstr>
      <vt:lpstr>SA2</vt:lpstr>
      <vt:lpstr>SA3</vt:lpstr>
      <vt:lpstr>SA4</vt:lpstr>
      <vt:lpstr>SA5</vt:lpstr>
      <vt:lpstr>SA6</vt:lpstr>
      <vt:lpstr>SA7</vt:lpstr>
      <vt:lpstr>SA8</vt:lpstr>
      <vt:lpstr>Data Summary</vt:lpstr>
      <vt:lpstr>Overview of data entered</vt:lpstr>
      <vt:lpstr>ForTeamWorkbook</vt:lpstr>
      <vt:lpstr>programmer</vt:lpstr>
      <vt:lpstr>calc</vt:lpstr>
      <vt:lpstr>Codes!Print_Area</vt:lpstr>
      <vt:lpstr>'Data Summary'!Print_Area</vt:lpstr>
      <vt:lpstr>Information!Print_Area</vt:lpstr>
      <vt:lpstr>Instructions!Print_Area</vt:lpstr>
      <vt:lpstr>'Overview of data entered'!Print_Area</vt:lpstr>
      <vt:lpstr>'SA1'!Print_Area</vt:lpstr>
      <vt:lpstr>'SA2'!Print_Area</vt:lpstr>
      <vt:lpstr>'SA3'!Print_Area</vt:lpstr>
      <vt:lpstr>'SA4'!Print_Area</vt:lpstr>
      <vt:lpstr>'SA5'!Print_Area</vt:lpstr>
      <vt:lpstr>'SA6'!Print_Area</vt:lpstr>
      <vt:lpstr>'SA7'!Print_Area</vt:lpstr>
      <vt:lpstr>'SA8'!Print_Area</vt:lpstr>
      <vt:lpstr>'Overview of data entered'!Print_Titles</vt:lpstr>
      <vt:lpstr>'SA1'!Print_Titles</vt:lpstr>
      <vt:lpstr>'SA2'!Print_Titles</vt:lpstr>
      <vt:lpstr>'SA3'!Print_Titles</vt:lpstr>
      <vt:lpstr>'SA4'!Print_Titles</vt:lpstr>
      <vt:lpstr>'SA5'!Print_Titles</vt:lpstr>
      <vt:lpstr>'SA6'!Print_Titles</vt:lpstr>
      <vt:lpstr>'SA7'!Print_Titles</vt:lpstr>
      <vt:lpstr>'SA8'!Print_Titles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 Hall</dc:creator>
  <cp:lastModifiedBy>Cat Hall</cp:lastModifiedBy>
  <cp:lastPrinted>2026-07-29T21:37:56Z</cp:lastPrinted>
  <dcterms:created xsi:type="dcterms:W3CDTF">2026-06-01T17:50:59Z</dcterms:created>
  <dcterms:modified xsi:type="dcterms:W3CDTF">2026-07-29T21:51:39Z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0x010100F550D371B580F64AB8F0059333CBB636</vt:lpwstr>
  </property>
</Properties>
</file>